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rgeyspirkin/Documents/Фирма - Прайсы наши и конкурентов/"/>
    </mc:Choice>
  </mc:AlternateContent>
  <xr:revisionPtr revIDLastSave="0" documentId="13_ncr:1_{E5BAD94C-E505-0249-908A-3CD3B8B603C3}" xr6:coauthVersionLast="47" xr6:coauthVersionMax="47" xr10:uidLastSave="{00000000-0000-0000-0000-000000000000}"/>
  <bookViews>
    <workbookView xWindow="0" yWindow="720" windowWidth="40960" windowHeight="21320" tabRatio="800" activeTab="2" xr2:uid="{00000000-000D-0000-FFFF-FFFF00000000}"/>
  </bookViews>
  <sheets>
    <sheet name="Прайс с 2025-10-25     стр1" sheetId="14" r:id="rId1"/>
    <sheet name="стр 2" sheetId="31" r:id="rId2"/>
    <sheet name=" стр 3" sheetId="32" r:id="rId3"/>
    <sheet name="стр 4" sheetId="17" r:id="rId4"/>
    <sheet name="стр 5" sheetId="18" r:id="rId5"/>
    <sheet name="стр 6" sheetId="19" r:id="rId6"/>
    <sheet name="стр 7" sheetId="34" r:id="rId7"/>
    <sheet name="стр 8" sheetId="28" r:id="rId8"/>
    <sheet name="стр 9" sheetId="22" r:id="rId9"/>
    <sheet name="стр 10" sheetId="33" r:id="rId10"/>
    <sheet name="Формулы" sheetId="26" r:id="rId11"/>
  </sheets>
  <externalReferences>
    <externalReference r:id="rId12"/>
    <externalReference r:id="rId13"/>
  </externalReferences>
  <definedNames>
    <definedName name="_xlnm._FilterDatabase" localSheetId="2" hidden="1">' стр 3'!#REF!</definedName>
    <definedName name="_xlnm._FilterDatabase" localSheetId="0" hidden="1">'Прайс с 2025-10-25     стр1'!#REF!</definedName>
    <definedName name="_xlnm._FilterDatabase" localSheetId="9" hidden="1">'стр 10'!#REF!</definedName>
    <definedName name="_xlnm._FilterDatabase" localSheetId="1" hidden="1">'стр 2'!$B$3:$D$3</definedName>
    <definedName name="_xlnm._FilterDatabase" localSheetId="3" hidden="1">'стр 4'!#REF!</definedName>
    <definedName name="_xlnm._FilterDatabase" localSheetId="4" hidden="1">'стр 5'!#REF!</definedName>
    <definedName name="_xlnm._FilterDatabase" localSheetId="5" hidden="1">'стр 6'!#REF!</definedName>
    <definedName name="_xlnm._FilterDatabase" localSheetId="6" hidden="1">'стр 7'!#REF!</definedName>
    <definedName name="_xlnm._FilterDatabase" localSheetId="7" hidden="1">'стр 8'!#REF!</definedName>
    <definedName name="_xlnm._FilterDatabase" localSheetId="8" hidden="1">'стр 9'!#REF!</definedName>
    <definedName name="а" localSheetId="2">#REF!</definedName>
    <definedName name="а" localSheetId="0">#REF!</definedName>
    <definedName name="а" localSheetId="9">#REF!</definedName>
    <definedName name="а" localSheetId="1">#REF!</definedName>
    <definedName name="а" localSheetId="3">#REF!</definedName>
    <definedName name="а" localSheetId="4">#REF!</definedName>
    <definedName name="а" localSheetId="5">#REF!</definedName>
    <definedName name="а" localSheetId="6">#REF!</definedName>
    <definedName name="а" localSheetId="7">#REF!</definedName>
    <definedName name="а" localSheetId="8">#REF!</definedName>
    <definedName name="а">#REF!</definedName>
    <definedName name="аааукаук" localSheetId="9">#REF!</definedName>
    <definedName name="аааукаук">#REF!</definedName>
    <definedName name="Авиньон" localSheetId="9">[1]Формулы!$C$24</definedName>
    <definedName name="Авиньон">Формулы!$C$20</definedName>
    <definedName name="б" localSheetId="2">#REF!</definedName>
    <definedName name="б" localSheetId="0">#REF!</definedName>
    <definedName name="б" localSheetId="9">#REF!</definedName>
    <definedName name="б" localSheetId="1">#REF!</definedName>
    <definedName name="б" localSheetId="3">#REF!</definedName>
    <definedName name="б" localSheetId="4">#REF!</definedName>
    <definedName name="б" localSheetId="5">#REF!</definedName>
    <definedName name="б" localSheetId="6">#REF!</definedName>
    <definedName name="б" localSheetId="7">#REF!</definedName>
    <definedName name="б" localSheetId="8">#REF!</definedName>
    <definedName name="б">#REF!</definedName>
    <definedName name="Балюстрада_гнутая_R300" localSheetId="9">[2]Формулы!$C$25</definedName>
    <definedName name="Балюстрада_гнутая_R300">Формулы!#REF!</definedName>
    <definedName name="Балюстрада_прямая_1200х75" localSheetId="9">[2]Формулы!$C$23</definedName>
    <definedName name="Балюстрада_прямая_1200х75">Формулы!#REF!</definedName>
    <definedName name="Балюстрада_прямая_2000х75" localSheetId="9">[2]Формулы!$C$24</definedName>
    <definedName name="Балюстрада_прямая_2000х75">Формулы!#REF!</definedName>
    <definedName name="_xlnm.Print_Area" localSheetId="2">' стр 3'!$A$1:$E$44</definedName>
    <definedName name="_xlnm.Print_Area" localSheetId="0">'Прайс с 2025-10-25     стр1'!$A$1:$H$44</definedName>
    <definedName name="_xlnm.Print_Area" localSheetId="9">'стр 10'!$A$1:$H$47</definedName>
    <definedName name="_xlnm.Print_Area" localSheetId="1">'стр 2'!$A$1:$E$44</definedName>
    <definedName name="_xlnm.Print_Area" localSheetId="3">'стр 4'!$A$1:$H$44</definedName>
    <definedName name="_xlnm.Print_Area" localSheetId="4">'стр 5'!$A$1:$H$44</definedName>
    <definedName name="_xlnm.Print_Area" localSheetId="5">'стр 6'!$A$1:$H$44</definedName>
    <definedName name="_xlnm.Print_Area" localSheetId="6">'стр 7'!$A$1:$H$44</definedName>
    <definedName name="_xlnm.Print_Area" localSheetId="7">'стр 8'!$A$1:$H$44</definedName>
    <definedName name="_xlnm.Print_Area" localSheetId="8">'стр 9'!$A$1:$H$49</definedName>
    <definedName name="_xlnm.Print_Area" localSheetId="10">Формулы!$A$1:$D$38</definedName>
    <definedName name="Основа_гнутого_фасада" localSheetId="9">[2]Формулы!$C$19</definedName>
    <definedName name="Основа_гнутого_фасада">Формулы!$C$23</definedName>
    <definedName name="Патина" localSheetId="9">[2]Формулы!$C$18</definedName>
    <definedName name="Патина">Формулы!$C$22</definedName>
    <definedName name="Плита_19_мм" localSheetId="9">[2]Формулы!$C$17</definedName>
    <definedName name="Плита_19_мм">Формулы!$C$21</definedName>
    <definedName name="Престиж_1" localSheetId="9">[2]Формулы!$C$9</definedName>
    <definedName name="Престиж_1">Формулы!$C$12</definedName>
    <definedName name="Престиж_2" localSheetId="9">[2]Формулы!$C$10</definedName>
    <definedName name="Престиж_2">Формулы!$C$13</definedName>
    <definedName name="Престиж_3" localSheetId="9">[2]Формулы!$C$11</definedName>
    <definedName name="Престиж_3">Формулы!#REF!</definedName>
    <definedName name="Престиж_4" localSheetId="9">[2]Формулы!$C$12</definedName>
    <definedName name="Престиж_4">Формулы!#REF!</definedName>
    <definedName name="Престиж_А" localSheetId="9">[1]Формулы!$C$13</definedName>
    <definedName name="Престиж_А">Формулы!$C$11</definedName>
    <definedName name="Сложная_фрезеровка" localSheetId="9">[2]Формулы!$C$15</definedName>
    <definedName name="Сложная_фрезеровка">Формулы!$C$18</definedName>
    <definedName name="Сложная_фрезеровка_с_утопленной_вставкой" localSheetId="9">[2]Формулы!$C$16</definedName>
    <definedName name="Сложная_фрезеровка_с_утопленной_вставкой">Формулы!$C$19</definedName>
    <definedName name="Стандарт_0" localSheetId="9">[1]Формулы!#REF!</definedName>
    <definedName name="Стандарт_0">Формулы!#REF!</definedName>
    <definedName name="Стандарт_1" localSheetId="9">[2]Формулы!$C$4</definedName>
    <definedName name="Стандарт_1">Формулы!$C$4</definedName>
    <definedName name="Стандарт_2" localSheetId="9">[2]Формулы!$C$5</definedName>
    <definedName name="Стандарт_2">Формулы!$C$5</definedName>
    <definedName name="Стандарт_3" localSheetId="9">[2]Формулы!$C$6</definedName>
    <definedName name="Стандарт_3">Формулы!$C$6</definedName>
    <definedName name="Стандарт_4" localSheetId="9">[2]Формулы!$C$7</definedName>
    <definedName name="Стандарт_4">Формулы!$C$7</definedName>
    <definedName name="Стандарт_5" localSheetId="9">[1]Формулы!$C$10</definedName>
    <definedName name="Стандарт_5">Формулы!$C$8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8" l="1"/>
  <c r="D13" i="28"/>
  <c r="D15" i="28"/>
  <c r="E15" i="28"/>
  <c r="E11" i="28"/>
  <c r="D11" i="28"/>
  <c r="G15" i="28"/>
  <c r="F15" i="28"/>
  <c r="G18" i="14"/>
  <c r="G16" i="28"/>
  <c r="F16" i="28"/>
  <c r="E16" i="28"/>
  <c r="D16" i="28"/>
  <c r="G13" i="28"/>
  <c r="F13" i="28"/>
  <c r="F14" i="28"/>
  <c r="G14" i="28"/>
  <c r="E14" i="28"/>
  <c r="F18" i="14"/>
  <c r="D14" i="28"/>
  <c r="G12" i="28"/>
  <c r="F12" i="28"/>
  <c r="E12" i="28"/>
  <c r="D12" i="28"/>
  <c r="G11" i="28"/>
  <c r="F11" i="28"/>
  <c r="G9" i="28"/>
  <c r="F9" i="28"/>
  <c r="E9" i="28"/>
  <c r="D9" i="28"/>
  <c r="E7" i="28"/>
  <c r="D7" i="28"/>
  <c r="G7" i="28"/>
  <c r="F7" i="28"/>
  <c r="F43" i="14"/>
  <c r="F37" i="14"/>
  <c r="G15" i="14" l="1"/>
  <c r="G16" i="14"/>
  <c r="G17" i="14"/>
  <c r="G19" i="14"/>
  <c r="G20" i="14"/>
  <c r="G21" i="14"/>
  <c r="G22" i="14"/>
  <c r="G30" i="14"/>
  <c r="F30" i="14"/>
  <c r="E30" i="14"/>
  <c r="D30" i="14"/>
  <c r="G32" i="14"/>
  <c r="F32" i="14"/>
  <c r="E32" i="14"/>
  <c r="D32" i="14"/>
  <c r="F20" i="14"/>
  <c r="E20" i="14"/>
  <c r="D20" i="14"/>
  <c r="G31" i="14"/>
  <c r="F31" i="14"/>
  <c r="E31" i="14"/>
  <c r="D31" i="14"/>
  <c r="F19" i="14"/>
  <c r="E19" i="14"/>
  <c r="D19" i="14"/>
  <c r="E18" i="14"/>
  <c r="D18" i="14"/>
  <c r="G5" i="14" l="1"/>
  <c r="G34" i="14" l="1"/>
  <c r="G33" i="14"/>
  <c r="G29" i="14"/>
  <c r="G28" i="14"/>
  <c r="G27" i="14"/>
  <c r="F34" i="14"/>
  <c r="F33" i="14"/>
  <c r="F29" i="14"/>
  <c r="F28" i="14"/>
  <c r="F27" i="14"/>
  <c r="E34" i="14"/>
  <c r="E33" i="14"/>
  <c r="E29" i="14"/>
  <c r="E28" i="14"/>
  <c r="E27" i="14"/>
  <c r="D34" i="14"/>
  <c r="D33" i="14"/>
  <c r="D29" i="14"/>
  <c r="D28" i="14"/>
  <c r="D27" i="14"/>
  <c r="F22" i="14"/>
  <c r="F21" i="14"/>
  <c r="F17" i="14"/>
  <c r="F16" i="14"/>
  <c r="F15" i="14"/>
  <c r="E22" i="14"/>
  <c r="E21" i="14"/>
  <c r="E17" i="14"/>
  <c r="E16" i="14"/>
  <c r="E15" i="14"/>
  <c r="D22" i="14"/>
  <c r="D21" i="14"/>
  <c r="D17" i="14"/>
  <c r="D16" i="14"/>
  <c r="D15" i="14"/>
  <c r="E26" i="18" l="1"/>
  <c r="E5" i="18"/>
  <c r="G3" i="19" l="1"/>
  <c r="F3" i="19"/>
  <c r="E3" i="19"/>
  <c r="D3" i="19"/>
  <c r="E16" i="19"/>
  <c r="G34" i="18"/>
  <c r="F34" i="18"/>
  <c r="D34" i="18"/>
  <c r="E34" i="18"/>
  <c r="F26" i="18"/>
  <c r="G26" i="18"/>
  <c r="D26" i="18"/>
  <c r="G25" i="18"/>
  <c r="F25" i="18"/>
  <c r="E25" i="18"/>
  <c r="D25" i="18"/>
  <c r="G18" i="18"/>
  <c r="F18" i="18"/>
  <c r="F9" i="18"/>
  <c r="G9" i="18" s="1"/>
  <c r="G5" i="18"/>
  <c r="F5" i="18"/>
  <c r="E9" i="18"/>
  <c r="E18" i="18"/>
  <c r="D9" i="18"/>
  <c r="D5" i="18"/>
  <c r="D18" i="18"/>
</calcChain>
</file>

<file path=xl/sharedStrings.xml><?xml version="1.0" encoding="utf-8"?>
<sst xmlns="http://schemas.openxmlformats.org/spreadsheetml/2006/main" count="503" uniqueCount="413">
  <si>
    <t>г. Томск,  ул. Тимакова 21, стр.9 офис 1, тел: 8 (3822) 48-25-82, 42-03-39</t>
  </si>
  <si>
    <t>http://www.fmf-irbis.ru</t>
  </si>
  <si>
    <t xml:space="preserve">               для мебельных компаний, работающих на постоянной основе</t>
  </si>
  <si>
    <t>Наценка для частных клиентов  + 25%</t>
  </si>
  <si>
    <t>1. Стоимость прямых фасадов 16мм  (руб/м2)</t>
  </si>
  <si>
    <t>Каталог               ПВХ пленок</t>
  </si>
  <si>
    <t>Материал поверхности</t>
  </si>
  <si>
    <t>Фрезеровки</t>
  </si>
  <si>
    <t xml:space="preserve">1 группа     </t>
  </si>
  <si>
    <t xml:space="preserve">2 группа   </t>
  </si>
  <si>
    <t xml:space="preserve">3 группа        </t>
  </si>
  <si>
    <t xml:space="preserve">4 группа    </t>
  </si>
  <si>
    <t>ПВХ пленка                    (Китай)</t>
  </si>
  <si>
    <t>Стандарт 1</t>
  </si>
  <si>
    <t>Стандарт 2</t>
  </si>
  <si>
    <t>Стандарт 3</t>
  </si>
  <si>
    <t>Стандарт 4</t>
  </si>
  <si>
    <t>Престиж 1</t>
  </si>
  <si>
    <t>Престиж 2</t>
  </si>
  <si>
    <t>2. Стоимость прямых фасадов 19мм (руб/м2)</t>
  </si>
  <si>
    <t>Каталог                    ПВХ пленок</t>
  </si>
  <si>
    <t xml:space="preserve">3. Стоимость гнутого фасада  (руб/м2) равна </t>
  </si>
  <si>
    <t>стоимости соответствующего прямого фасада</t>
  </si>
  <si>
    <t>руб/м2</t>
  </si>
  <si>
    <t>4. Минимальная стоимость гнутого фасада равна стоимости соответствующего гнутого фасада высотой 356 мм</t>
  </si>
  <si>
    <t>стр 1</t>
  </si>
  <si>
    <t>Дуб Гальяно натуральный</t>
  </si>
  <si>
    <t>Бетон кремовый</t>
  </si>
  <si>
    <t>Дуб Гальяно светлый</t>
  </si>
  <si>
    <t>Бетон серо-голубой</t>
  </si>
  <si>
    <t>Дуб Асбери арктический**</t>
  </si>
  <si>
    <t>Дуб Асбери бежевый**</t>
  </si>
  <si>
    <t>Дуб Асбери белый**</t>
  </si>
  <si>
    <t>Дуб Мичиганский</t>
  </si>
  <si>
    <t>Дуб Асбери голубой**</t>
  </si>
  <si>
    <t>Дуб Асбери горчичный**</t>
  </si>
  <si>
    <t>Дуб скальный кофейный</t>
  </si>
  <si>
    <t>Дуб Асбери графитовый**</t>
  </si>
  <si>
    <t>Дуб Асбери джинсовый**</t>
  </si>
  <si>
    <t>Дуб Асбери кофейный**</t>
  </si>
  <si>
    <t>Мадлен беж</t>
  </si>
  <si>
    <t>Дуб Асбери кремовый**</t>
  </si>
  <si>
    <t>Дуб Асбери оливковый**</t>
  </si>
  <si>
    <t>Дуб Асбери серый**</t>
  </si>
  <si>
    <t>Дуб Асбери синий**</t>
  </si>
  <si>
    <t>Дуб Асбери темно-бирюзовый**</t>
  </si>
  <si>
    <t>Камень светлый</t>
  </si>
  <si>
    <t>Камень темный</t>
  </si>
  <si>
    <t>Ясень полярный молочный**</t>
  </si>
  <si>
    <t>Ясень ривьера радужный</t>
  </si>
  <si>
    <t>Ясень ривьера серый</t>
  </si>
  <si>
    <t>Акация темная</t>
  </si>
  <si>
    <t>Сатин мокко</t>
  </si>
  <si>
    <t>Дуб Рединг бирюзовый**</t>
  </si>
  <si>
    <t>Сатин панакота</t>
  </si>
  <si>
    <t>Дуб Рединг кремовый**</t>
  </si>
  <si>
    <t>Сатин серо-коричневый</t>
  </si>
  <si>
    <t>Сатин бежевый</t>
  </si>
  <si>
    <t>Сатин фисташка</t>
  </si>
  <si>
    <t>Сатин бирюза</t>
  </si>
  <si>
    <t>Сатин джелато</t>
  </si>
  <si>
    <t>Сатин кашемир</t>
  </si>
  <si>
    <t>Сатин латте</t>
  </si>
  <si>
    <t>Сатин милк</t>
  </si>
  <si>
    <t xml:space="preserve">Белоснежный глянец </t>
  </si>
  <si>
    <t>Молочно-белый глянец</t>
  </si>
  <si>
    <t>* патинируются по фрезеровке</t>
  </si>
  <si>
    <t>** патинируются полностью</t>
  </si>
  <si>
    <t>Стр 3</t>
  </si>
  <si>
    <t>Вяз Китами темный</t>
  </si>
  <si>
    <t>Дуб Бартек светлый</t>
  </si>
  <si>
    <t>Дуб Бартек соломенный</t>
  </si>
  <si>
    <t>Дуб Сонома</t>
  </si>
  <si>
    <t>Дуб Харбор золотой</t>
  </si>
  <si>
    <t>Супер мат PST Серый кубанит</t>
  </si>
  <si>
    <t>Ультра Античная роза *</t>
  </si>
  <si>
    <t>Супер мат PST Серый светлый</t>
  </si>
  <si>
    <t>Ультра Дакар *</t>
  </si>
  <si>
    <t>Ультра Зеленый лабрадорский *</t>
  </si>
  <si>
    <t>Ультра Зеленый лесной *</t>
  </si>
  <si>
    <t>Ультра Мюсель *</t>
  </si>
  <si>
    <t>Ультра Парижский синий *</t>
  </si>
  <si>
    <t>Ультра Серый камень *</t>
  </si>
  <si>
    <t>Ультра Серый пепельный *</t>
  </si>
  <si>
    <t>Ультра Черный *</t>
  </si>
  <si>
    <t>Стр 4</t>
  </si>
  <si>
    <t>Золото сусальное</t>
  </si>
  <si>
    <t>Платина</t>
  </si>
  <si>
    <t>Латунь (Золото античное)</t>
  </si>
  <si>
    <t>Серебро</t>
  </si>
  <si>
    <t>1 группа</t>
  </si>
  <si>
    <t xml:space="preserve">2 группа </t>
  </si>
  <si>
    <t>3 группа</t>
  </si>
  <si>
    <t>Карре **</t>
  </si>
  <si>
    <t xml:space="preserve">Аверса </t>
  </si>
  <si>
    <t>Альби * **</t>
  </si>
  <si>
    <t>Карре лайт**</t>
  </si>
  <si>
    <t xml:space="preserve">Аверса с косичкой </t>
  </si>
  <si>
    <t>Бристоль * **</t>
  </si>
  <si>
    <t xml:space="preserve">Виченца </t>
  </si>
  <si>
    <t>Имитация сборного рамка 60</t>
  </si>
  <si>
    <t>Модерн 1</t>
  </si>
  <si>
    <t>Виченца лайт</t>
  </si>
  <si>
    <t>Имитация сборного рамка 70</t>
  </si>
  <si>
    <t xml:space="preserve">Модерн 3 </t>
  </si>
  <si>
    <t>Дюна * **</t>
  </si>
  <si>
    <t>Имитация сборного рамка 88</t>
  </si>
  <si>
    <t xml:space="preserve">Модерн 7 </t>
  </si>
  <si>
    <t>Капри</t>
  </si>
  <si>
    <t>Кардифф * **</t>
  </si>
  <si>
    <t>Псевдорамка</t>
  </si>
  <si>
    <t>Капри с косичкой</t>
  </si>
  <si>
    <t>Ливерпуль **</t>
  </si>
  <si>
    <t>Капри лайт</t>
  </si>
  <si>
    <t>Лидс **</t>
  </si>
  <si>
    <t>Капри лайт с косичкой</t>
  </si>
  <si>
    <t>Манчестер * **</t>
  </si>
  <si>
    <t>Мальта *</t>
  </si>
  <si>
    <t>Оксфорд **</t>
  </si>
  <si>
    <t>Мальта с косичкой *</t>
  </si>
  <si>
    <t>Престон **</t>
  </si>
  <si>
    <t>Понца</t>
  </si>
  <si>
    <t>Честер * **</t>
  </si>
  <si>
    <t xml:space="preserve">Понца с косичкой </t>
  </si>
  <si>
    <t>Рейки Шампань * **</t>
  </si>
  <si>
    <t>Шато *</t>
  </si>
  <si>
    <t>Шато с косичкой *</t>
  </si>
  <si>
    <t>4 группа</t>
  </si>
  <si>
    <t>Авиньон * **</t>
  </si>
  <si>
    <t>*  Производятся и на прямых и на гнутых фасадах, но только толщиной 19 мм</t>
  </si>
  <si>
    <t>**  Производятся только на прямых фасадах толщиной 16 мм и 19 мм</t>
  </si>
  <si>
    <t xml:space="preserve">* ** Производятся только на прямых фасадах и только толщиной 19 мм </t>
  </si>
  <si>
    <t>толщина 16мм и 19 мм (одна цена)</t>
  </si>
  <si>
    <t>Наименование</t>
  </si>
  <si>
    <t>Стандарт</t>
  </si>
  <si>
    <t>Стандарт + Патина</t>
  </si>
  <si>
    <t>Престиж</t>
  </si>
  <si>
    <t>Престиж + Патина</t>
  </si>
  <si>
    <t>Стр 5</t>
  </si>
  <si>
    <t>Минимальная стоимость одного декоративного элемента равна стоимости 0,1 м2</t>
  </si>
  <si>
    <t>толщина 16 мм и 19 мм (одна цена)</t>
  </si>
  <si>
    <t>Буазери (10 мм, 16 мм, 19 мм)</t>
  </si>
  <si>
    <t>Кокошник № 1 (под пилястры 50 мм)</t>
  </si>
  <si>
    <t>Кокошник № 2 (под пилястры 75 мм)</t>
  </si>
  <si>
    <t>Подставка под бутылки</t>
  </si>
  <si>
    <t>Бутылочница декоративная № 1                                                                                             (ширины только 146-150 и 196-200 мм)</t>
  </si>
  <si>
    <t>Бутылочница декоративная № 2                                                                 (ширины только 146-150 и 196-200 мм)</t>
  </si>
  <si>
    <t>Кокошник декоративный № 1                              (под пилястры 75 мм)</t>
  </si>
  <si>
    <t xml:space="preserve">Кокошник декоративный № 4 </t>
  </si>
  <si>
    <t>Кокошник декоративный № 5</t>
  </si>
  <si>
    <t>Портальная накладка декоративная № 1</t>
  </si>
  <si>
    <t xml:space="preserve">Вставка решетка-плетенка (3мм) *             </t>
  </si>
  <si>
    <t>Минимальная  стоимость одного декоративного элемента равна стоимости 1 м.п.</t>
  </si>
  <si>
    <t>Карниз нижний № 4 (толщина 16мм)</t>
  </si>
  <si>
    <t>Карниз верхний № 5</t>
  </si>
  <si>
    <t>Карниз нижний № 2 (толщина 16мм)</t>
  </si>
  <si>
    <t>Карниз нижний № 3 (толщина 16мм)</t>
  </si>
  <si>
    <t>Карниз нижний № 5 (толщина 16мм)</t>
  </si>
  <si>
    <t>Пилястра каннелюр (50 мм)</t>
  </si>
  <si>
    <t>Пилястра каннелюр (75 мм)</t>
  </si>
  <si>
    <t>Пилястра квадро (50 мм)</t>
  </si>
  <si>
    <t>Пилястра квадро (75 мм)</t>
  </si>
  <si>
    <t>Карниз верхний № 7</t>
  </si>
  <si>
    <t>Пилястра декоративная № 1 (50 мм)</t>
  </si>
  <si>
    <t>Пилястра декоративная № 2 (75 мм)</t>
  </si>
  <si>
    <t>Пилястра декоративная № 3 (50 мм)</t>
  </si>
  <si>
    <t>Пилястра декоративная № 4 (50 мм)</t>
  </si>
  <si>
    <t>Пилястра декоративная № 5 (75 мм)</t>
  </si>
  <si>
    <t>Пилястра декоративная № 6 (75 мм)</t>
  </si>
  <si>
    <t>Цоколь декоративный (70мм-150мм)                                             (толщина 16мм)</t>
  </si>
  <si>
    <t>Все карнизы производятся двух длин: 1000 мм и 2300 мм</t>
  </si>
  <si>
    <t>Стр 6</t>
  </si>
  <si>
    <t>Карниз верхний гнутый № 5 (R300)</t>
  </si>
  <si>
    <t>Карниз верхний гнутый № 7 (R300)</t>
  </si>
  <si>
    <t>Карниз нижний гнутый № 2 (R300)</t>
  </si>
  <si>
    <t>Карниз нижний гнутый № 3 (R300)</t>
  </si>
  <si>
    <t>Карниз нижний гнутый № 4 (R300)</t>
  </si>
  <si>
    <t>Карниз нижний гнутый № 5 (R300)</t>
  </si>
  <si>
    <t>Корона декоративная</t>
  </si>
  <si>
    <t>Цоколь декоративный гнутый (R300)</t>
  </si>
  <si>
    <t>заказ будет рассчитан исходя из площади каждого фасада = 0,1м2</t>
  </si>
  <si>
    <t>Стоимость</t>
  </si>
  <si>
    <t>Решетка - крест 4 окошка</t>
  </si>
  <si>
    <t xml:space="preserve">+ </t>
  </si>
  <si>
    <t>рублей за 1 м2 к стоимости соответствующего фасада</t>
  </si>
  <si>
    <t>Решетка - крест 6 окошек</t>
  </si>
  <si>
    <t>Решетка - крест 8 окошек</t>
  </si>
  <si>
    <t>Решетка - крест горизонтальная  6 окошек</t>
  </si>
  <si>
    <t>Решетка - крест горизонтальная  8 окошек</t>
  </si>
  <si>
    <t>Решетки производятся только на прямых фасадах, ламинированных  матовыми пленками ПВХ</t>
  </si>
  <si>
    <t>Решетки производятся на всех фрезеровках, кроме:</t>
  </si>
  <si>
    <t>Ливерпуль, Манчестер,   Престон,  Честер, Дюна, Авиньон, Рейки Шампань</t>
  </si>
  <si>
    <t>Фасад с двойной филенкой для кухни (тип K)</t>
  </si>
  <si>
    <t>Аналогична стоимости соответствующей фрезеровки</t>
  </si>
  <si>
    <t>Фасад с двойной филенкой для гардероба (тип W)</t>
  </si>
  <si>
    <t>Фасад с двойной филенкой для кухни - поперечная планка согласована с фасадом 716 мм</t>
  </si>
  <si>
    <t>Фасад с двойной филенкой для гардероба - поперечная планка рассчитана из того,</t>
  </si>
  <si>
    <t xml:space="preserve"> что ручка-кнопка (и соответственно центр планки),</t>
  </si>
  <si>
    <t>должна находиться на 1000 мм от пола при царге 70 мм</t>
  </si>
  <si>
    <t>Стр 7</t>
  </si>
  <si>
    <t>Боковина 1</t>
  </si>
  <si>
    <t>к стоимости Модерн 1</t>
  </si>
  <si>
    <t>Боковина 3</t>
  </si>
  <si>
    <t>Размеры боковины:</t>
  </si>
  <si>
    <t xml:space="preserve">по высоте </t>
  </si>
  <si>
    <t>от 2351 до 2750</t>
  </si>
  <si>
    <t>по ширине</t>
  </si>
  <si>
    <t>Стр 8</t>
  </si>
  <si>
    <t>Приложение 1 (Техническая информация):</t>
  </si>
  <si>
    <t>Максимальный размер прямого фасада (текстура пленки вертикально) = 2350х800мм или 800х1200</t>
  </si>
  <si>
    <t>Максимальный размер прямого фасада (текстура пленки горизонтально) = 800х2350мм или 1200х800</t>
  </si>
  <si>
    <t>Максимальная высота гнутого фасада (текстура пленки вертикально) = 1500 мм</t>
  </si>
  <si>
    <t>Минимальная высота гнутого фасада (кроме фрезеровки Мальта ) = 50 мм</t>
  </si>
  <si>
    <t>Минимальный размер прямого фасада (кроме Модерн 3, Модерн 1, Мальты и Дюны, Авиньон, Альби) = 296х50 мм</t>
  </si>
  <si>
    <t>Минимальный размер Модерн 3  и Модерн 1 = 100х35 мм</t>
  </si>
  <si>
    <t>Минимальный размер Мальты, Авиньон, Альби  = 296х100 мм</t>
  </si>
  <si>
    <t>Минимальный размер Дюны  = 100х296 мм или 296х146 мм</t>
  </si>
  <si>
    <t>Минимальный размер фасада под стекло - Витрина = 296х296 мм</t>
  </si>
  <si>
    <t>Минимальный размер Решетки - крест 4 окошка = 296х296 мм</t>
  </si>
  <si>
    <t>Минимальный размер Решетки - крест 6 окошек = 396х296 мм</t>
  </si>
  <si>
    <t>Минимальный размер Решетки - крест 8 окошек = 496х296 мм</t>
  </si>
  <si>
    <t>Минимальный размер Решетки - крест горизонтальной 6 окошек = 296х396 мм</t>
  </si>
  <si>
    <t>Минимальный размер Решетки - крест горизонтальной 8 окошек = 296х496 мм</t>
  </si>
  <si>
    <t>Минимальная высота Фасада с двойной филенкой для гардероба = 2000 мм</t>
  </si>
  <si>
    <t>Минимальная высота Фасада с двойной филенкой для кухни = 1500 мм</t>
  </si>
  <si>
    <t>Таблица стандартных размеров для вставки решетка-плетенка</t>
  </si>
  <si>
    <t>*</t>
  </si>
  <si>
    <t>50 мм с каждой стороны вставки решетка-плетенка не фрезеруются</t>
  </si>
  <si>
    <t>Все погонажные изделия имеют только одно направление текстуры - вдоль длинной стороны</t>
  </si>
  <si>
    <t>Стр 9</t>
  </si>
  <si>
    <t>Базовая цена - Простые фрезеровки на плите толщиной 16мм</t>
  </si>
  <si>
    <t>Наценки</t>
  </si>
  <si>
    <t>Фрезеровки 1 группа</t>
  </si>
  <si>
    <t>Фрезеровки 2 группа</t>
  </si>
  <si>
    <t>Фрезеровки 3 группа</t>
  </si>
  <si>
    <t>Фрезеровка 4 группа</t>
  </si>
  <si>
    <t>Плита 19 мм</t>
  </si>
  <si>
    <t>Патина</t>
  </si>
  <si>
    <t>Основа гнутого фасада</t>
  </si>
  <si>
    <t>Валанс * **</t>
  </si>
  <si>
    <t>Аоста *</t>
  </si>
  <si>
    <t>г. Новосибирск, ул. Бетонная 4, офис 115, тел: 8 (383) 353-48-80</t>
  </si>
  <si>
    <t>Стандарт 5</t>
  </si>
  <si>
    <t>Luxury mat Белый арктический</t>
  </si>
  <si>
    <t>Luxury mat Серый светлый</t>
  </si>
  <si>
    <t>Luxury mat Белый снежный</t>
  </si>
  <si>
    <t>Luxury mat Графит</t>
  </si>
  <si>
    <t>Luxury mat Кашемир</t>
  </si>
  <si>
    <t>Luxury mat Серый</t>
  </si>
  <si>
    <t>толщина 16 мм и 19 мм (одна цена), направление текстуры всегда вдоль длинной стороны</t>
  </si>
  <si>
    <t>* Вставка решетка-плетенка  производится только стандартных размеров и только в матовых пленках</t>
  </si>
  <si>
    <t>Стандарт 4 матовые</t>
  </si>
  <si>
    <t>Luxury mat Тоффи</t>
  </si>
  <si>
    <t>Luxury mat Деним</t>
  </si>
  <si>
    <t>Luxury mat Зеленый горный</t>
  </si>
  <si>
    <t>Luxury mat Серый темный</t>
  </si>
  <si>
    <t>Luxury mat Фьорд</t>
  </si>
  <si>
    <t>Luxury mat Жасмин</t>
  </si>
  <si>
    <t>Luxury mat Серый агат</t>
  </si>
  <si>
    <t>Luxury mat Серый альпака</t>
  </si>
  <si>
    <t>Luxury mat Серый Бенжамин</t>
  </si>
  <si>
    <t xml:space="preserve">Luxury mat Серый теплый </t>
  </si>
  <si>
    <t>Шампери * **</t>
  </si>
  <si>
    <t>Престиж А</t>
  </si>
  <si>
    <t>Гарантия на стабильность цвета дается только на все пленки из  Каталога Престиж!</t>
  </si>
  <si>
    <t>Сатин платина белая</t>
  </si>
  <si>
    <t xml:space="preserve">Бетон светло-серый </t>
  </si>
  <si>
    <t>Бетон темно-серый</t>
  </si>
  <si>
    <t>Массив Гриджио**</t>
  </si>
  <si>
    <t>Массив Эрбо**</t>
  </si>
  <si>
    <t>Массив Олива**</t>
  </si>
  <si>
    <t>Лион * **</t>
  </si>
  <si>
    <t>Фон белый</t>
  </si>
  <si>
    <t>Фон лайт</t>
  </si>
  <si>
    <t>Фон маус</t>
  </si>
  <si>
    <t>Сатин Деним</t>
  </si>
  <si>
    <t>Супер мат AV Белый Сантори</t>
  </si>
  <si>
    <t>Супер мат AV Графит</t>
  </si>
  <si>
    <t>Супер мат AV Серый пыльный</t>
  </si>
  <si>
    <t>Супер мат AV Серый жемчужный</t>
  </si>
  <si>
    <t>Супер мат AV Зеленый тростник</t>
  </si>
  <si>
    <t>Супер мат AV Серый камень</t>
  </si>
  <si>
    <t>Супер мат AV Серый оникс</t>
  </si>
  <si>
    <t>Супер мат AV Кашемир светлый</t>
  </si>
  <si>
    <t>Супер мат AV Серо-коричневый</t>
  </si>
  <si>
    <t>Гарантия на приклейку ПВХ пленок Каталога Стандарт - 2 года.</t>
  </si>
  <si>
    <t>Валуар* **</t>
  </si>
  <si>
    <t>Супер мат AV Кашемир песочный</t>
  </si>
  <si>
    <t>Фон фрапучино</t>
  </si>
  <si>
    <t>Фон топаз</t>
  </si>
  <si>
    <t xml:space="preserve">Фон латте </t>
  </si>
  <si>
    <t>Фон айвори</t>
  </si>
  <si>
    <t>Супер мат AV Зеленая мята</t>
  </si>
  <si>
    <t>Дуб Галифакс табачный</t>
  </si>
  <si>
    <t>Макалу темно-серый</t>
  </si>
  <si>
    <t xml:space="preserve">Бетон белый </t>
  </si>
  <si>
    <t xml:space="preserve">Бетон светлый </t>
  </si>
  <si>
    <t xml:space="preserve">Бетон темный </t>
  </si>
  <si>
    <t>Орех лучистый европейский</t>
  </si>
  <si>
    <t>Орех лучистый натуральный</t>
  </si>
  <si>
    <t>ПВХ пленка    (Германия)</t>
  </si>
  <si>
    <t>ПРАЙС-ЛИСТ на фасады МДФ, ламинированные ПВХ пленками</t>
  </si>
  <si>
    <t>Гарантия на приклейку ПВХ пленок Каталога Престиж - 5 лет.</t>
  </si>
  <si>
    <t>Орех лучистый ледяной</t>
  </si>
  <si>
    <t>Орех лучистый серый</t>
  </si>
  <si>
    <t>Орех лучистый соломенный</t>
  </si>
  <si>
    <t>Орех лучистый шоколадный</t>
  </si>
  <si>
    <t>Luxury mat Бежевый лен</t>
  </si>
  <si>
    <t>Luxury mat Серый тюлень</t>
  </si>
  <si>
    <t>Супер мат AV Серый светлый</t>
  </si>
  <si>
    <t>Супер мат AV Серый кубанит</t>
  </si>
  <si>
    <t>Дуб Галифакс натуральный</t>
  </si>
  <si>
    <t>Супер мат AV Ангора серая</t>
  </si>
  <si>
    <t>Супер мат AV Алебастр</t>
  </si>
  <si>
    <t>Супер мат AV Белый платиновый</t>
  </si>
  <si>
    <t>Супер мат AV Зеленый горный</t>
  </si>
  <si>
    <t>Супер мат AV Фьорд</t>
  </si>
  <si>
    <t>Структура дерева Белая</t>
  </si>
  <si>
    <t>Структура дерева Серая светлая</t>
  </si>
  <si>
    <t>Структура дерева Кашемир</t>
  </si>
  <si>
    <t>Структура дерева Серый камень</t>
  </si>
  <si>
    <t>Структура дерева Зеленый тростник</t>
  </si>
  <si>
    <t>Структура дерева Графит</t>
  </si>
  <si>
    <t>Ультра Бежевый камень *</t>
  </si>
  <si>
    <t>Ультра Зеленый тростник *</t>
  </si>
  <si>
    <t>Ультра Макадамия *</t>
  </si>
  <si>
    <t>Luxury mat Серый имбирь</t>
  </si>
  <si>
    <t>Сосна Аурелио белая</t>
  </si>
  <si>
    <t>Стандарт 4 глянцевые</t>
  </si>
  <si>
    <t>Силк камелия</t>
  </si>
  <si>
    <t>Силк тирамису</t>
  </si>
  <si>
    <t>Дуб Харбор винтажный</t>
  </si>
  <si>
    <t>Обратная сторона ламинирована ПВХ пленкой, текстура - Супер мат AV Белый платиновый  (Каталог Престиж)</t>
  </si>
  <si>
    <t>Дуб Грэндсон светлый</t>
  </si>
  <si>
    <t>Ультра Мейджик Перламутр</t>
  </si>
  <si>
    <t>Высокий глянец ПЭТ Белый</t>
  </si>
  <si>
    <t>Керамика Салазар</t>
  </si>
  <si>
    <t>Дуб Вотан натуральный</t>
  </si>
  <si>
    <t>Дуб Европейский красный**</t>
  </si>
  <si>
    <t>Дуб Европейский серый**</t>
  </si>
  <si>
    <t>Дуб Европейский соломенный**</t>
  </si>
  <si>
    <t>с 25.10.2025</t>
  </si>
  <si>
    <t>Приложение 2.1 (Изменения в каталогах):</t>
  </si>
  <si>
    <t>Сняты с продаж текстуры в Каталоге Престиж:</t>
  </si>
  <si>
    <t>Стр 10</t>
  </si>
  <si>
    <t xml:space="preserve">Дуб Виченцо светлый </t>
  </si>
  <si>
    <t>Супер мат AV Белый марципан</t>
  </si>
  <si>
    <t>Супер мат AV Зеленый Дюбюффе</t>
  </si>
  <si>
    <t>Супер мат AV Жасмин</t>
  </si>
  <si>
    <t>Супер мат AV Серый сумеречный</t>
  </si>
  <si>
    <t xml:space="preserve">Ультра Белый альпийский </t>
  </si>
  <si>
    <t>Ультра Графит</t>
  </si>
  <si>
    <t>Ультра Кашемир серый</t>
  </si>
  <si>
    <t>Ультра Алебастр</t>
  </si>
  <si>
    <t>Ультра Алебастр *</t>
  </si>
  <si>
    <t>Ультра Белый альпийский *</t>
  </si>
  <si>
    <t xml:space="preserve">в </t>
  </si>
  <si>
    <t>Ультра Белый платиновый</t>
  </si>
  <si>
    <t>Ультра Белый</t>
  </si>
  <si>
    <t>Ультра Белый платиновый *</t>
  </si>
  <si>
    <t>Ультра Графит *</t>
  </si>
  <si>
    <t>Ультра Кашемир серый *</t>
  </si>
  <si>
    <t>Дуб Виченцо светлый</t>
  </si>
  <si>
    <t xml:space="preserve">Ванильное дерево </t>
  </si>
  <si>
    <t>5. Стоимость ПАТИНИРОВАННЫХ фасадов  (руб/м2) равна</t>
  </si>
  <si>
    <t>стоимости соответствующего обычного фасада</t>
  </si>
  <si>
    <t>Стр 2</t>
  </si>
  <si>
    <t>10. Фасады с глянцевыми пленками исполняются только в фрезеровках Модерн</t>
  </si>
  <si>
    <t>11. Стоимость декоративных элементов, расчет по которым ведется за м2</t>
  </si>
  <si>
    <t>12. Стоимость декоративных элементов, расчет по которым ведется за м.п. - Погонажные изделия</t>
  </si>
  <si>
    <t>13. Стоимость декоративных элементов, расчет по которым ведется за 1 шт.</t>
  </si>
  <si>
    <t xml:space="preserve">14. Если средняя площадь прямых фасадов в заказе менее 0,1 м2, </t>
  </si>
  <si>
    <t xml:space="preserve">15. Стоимость прямых фасадов - решеток   </t>
  </si>
  <si>
    <t>Серо-коричневая</t>
  </si>
  <si>
    <t>Темно-коричневая</t>
  </si>
  <si>
    <t>Сняты с продаж патины:</t>
  </si>
  <si>
    <t>8. Цвета патины</t>
  </si>
  <si>
    <t>9. Виды фрезеровок</t>
  </si>
  <si>
    <t>18. Стоимость нестандартной фрезеровки  (руб/м2)</t>
  </si>
  <si>
    <t>Переименовали текстуру в Каталоге Престиж:</t>
  </si>
  <si>
    <t xml:space="preserve">6. Текстуры Каталог Стандарт </t>
  </si>
  <si>
    <t xml:space="preserve">7. Текстуры Каталог Престиж </t>
  </si>
  <si>
    <t>Супер мат AV Миндаль бежевый</t>
  </si>
  <si>
    <t>Минимальная стоимость одного фасада равна стоимости  0,2 м2</t>
  </si>
  <si>
    <t>Снята с продаж:</t>
  </si>
  <si>
    <t>Новинки текстур в Каталоге Престиж:</t>
  </si>
  <si>
    <t>Перенесены две текстуры из 1-ой во 2-ую категорию Каталога Престиж:</t>
  </si>
  <si>
    <t>16. Стоимость прямых фасадов с двойной филенкой</t>
  </si>
  <si>
    <t>Боковины</t>
  </si>
  <si>
    <t xml:space="preserve">Фасады данного раздела (боковины и негабарит) изготавливаются не на основном оборудовании </t>
  </si>
  <si>
    <t>Негабарит</t>
  </si>
  <si>
    <t>Негабарит 1</t>
  </si>
  <si>
    <t>Негабарит 3</t>
  </si>
  <si>
    <t>Нестандартная Фрезеровка 2 группа</t>
  </si>
  <si>
    <t>Нестандартная Фрезеровка 3 группа</t>
  </si>
  <si>
    <t>Нестандартная Фрезеровка 4 группа</t>
  </si>
  <si>
    <t xml:space="preserve">Нестандартная Фрезеровка 1 группа по пласти	</t>
  </si>
  <si>
    <t>Нестандартная Фрезеровка 1 группа по краю</t>
  </si>
  <si>
    <t>Ультра Белый переименовали в Ультра Белый платиновый !!!</t>
  </si>
  <si>
    <t>от 35 до 600</t>
  </si>
  <si>
    <t>17. Стоимость Боковины и Негабарита</t>
  </si>
  <si>
    <t>Минимальная стоимость Заявки по Боковинам равна стоимости фасада 2750х600 = 1,65 м2</t>
  </si>
  <si>
    <t>Минимальная стоимость одной детали Негабарит равна стоимости фасада 2750х600 = 1,65 м2</t>
  </si>
  <si>
    <t>Негабарит - это фасад с максимальными размерами, которые могут поместится в пресс,</t>
  </si>
  <si>
    <t xml:space="preserve">      два размера не могут быть одновременно более 800мм и при высоте более 2000 мм ширина не более 600 мм</t>
  </si>
  <si>
    <t xml:space="preserve">     два размера не могут быть одновременно более 800мм и при высоте более 2000 мм ширина не более 600 мм</t>
  </si>
  <si>
    <t>но которые выходят за ограничения других видов фрезеровок</t>
  </si>
  <si>
    <t>Текстура только вертикально</t>
  </si>
  <si>
    <t>и могут отличаться от основной продукции, в том числе и по качеству</t>
  </si>
  <si>
    <t xml:space="preserve">Текстуры только матовые </t>
  </si>
  <si>
    <t>Оформляется отдельной заявкой</t>
  </si>
  <si>
    <t>Максимальная ширина = 1150 мм</t>
  </si>
  <si>
    <t xml:space="preserve">Максимальная высота = 2750 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</si>
</sst>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u/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name val="Arial Cyr"/>
      <charset val="204"/>
    </font>
    <font>
      <i/>
      <sz val="14"/>
      <name val="Times New Roman"/>
      <family val="1"/>
    </font>
    <font>
      <i/>
      <sz val="14"/>
      <name val="Times New Roman"/>
      <family val="1"/>
      <charset val="204"/>
    </font>
    <font>
      <i/>
      <sz val="10"/>
      <name val="Arial Cyr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3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2" fillId="0" borderId="43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8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8" fillId="0" borderId="0" xfId="0" applyNumberFormat="1" applyFont="1" applyAlignment="1">
      <alignment horizontal="lef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3" fontId="2" fillId="0" borderId="53" xfId="0" applyNumberFormat="1" applyFont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3" fontId="2" fillId="2" borderId="7" xfId="0" applyNumberFormat="1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2" borderId="0" xfId="0" applyFont="1" applyFill="1"/>
    <xf numFmtId="49" fontId="2" fillId="2" borderId="6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3" fontId="7" fillId="2" borderId="9" xfId="0" applyNumberFormat="1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left" vertical="center" wrapText="1"/>
    </xf>
    <xf numFmtId="3" fontId="7" fillId="2" borderId="11" xfId="0" applyNumberFormat="1" applyFont="1" applyFill="1" applyBorder="1" applyAlignment="1">
      <alignment horizontal="left" vertical="center" wrapText="1"/>
    </xf>
    <xf numFmtId="3" fontId="2" fillId="2" borderId="44" xfId="0" applyNumberFormat="1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left" vertical="center" wrapText="1"/>
    </xf>
    <xf numFmtId="3" fontId="7" fillId="2" borderId="45" xfId="0" applyNumberFormat="1" applyFont="1" applyFill="1" applyBorder="1" applyAlignment="1">
      <alignment horizontal="left" vertical="center" wrapText="1"/>
    </xf>
    <xf numFmtId="3" fontId="7" fillId="2" borderId="13" xfId="0" applyNumberFormat="1" applyFont="1" applyFill="1" applyBorder="1" applyAlignment="1">
      <alignment horizontal="left" vertical="center" wrapText="1"/>
    </xf>
    <xf numFmtId="3" fontId="7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49" fontId="7" fillId="2" borderId="12" xfId="0" applyNumberFormat="1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49" fontId="7" fillId="2" borderId="48" xfId="0" applyNumberFormat="1" applyFont="1" applyFill="1" applyBorder="1" applyAlignment="1">
      <alignment horizontal="left" vertical="center" wrapText="1"/>
    </xf>
    <xf numFmtId="3" fontId="7" fillId="2" borderId="49" xfId="0" applyNumberFormat="1" applyFont="1" applyFill="1" applyBorder="1" applyAlignment="1">
      <alignment horizontal="left" vertical="center" wrapText="1"/>
    </xf>
    <xf numFmtId="3" fontId="7" fillId="2" borderId="50" xfId="0" applyNumberFormat="1" applyFont="1" applyFill="1" applyBorder="1" applyAlignment="1">
      <alignment horizontal="left" vertical="center" wrapText="1"/>
    </xf>
    <xf numFmtId="3" fontId="2" fillId="2" borderId="49" xfId="0" applyNumberFormat="1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49" fontId="7" fillId="2" borderId="13" xfId="0" applyNumberFormat="1" applyFont="1" applyFill="1" applyBorder="1" applyAlignment="1">
      <alignment horizontal="left" vertical="center" wrapText="1"/>
    </xf>
    <xf numFmtId="3" fontId="7" fillId="2" borderId="8" xfId="0" applyNumberFormat="1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left" vertical="center"/>
    </xf>
    <xf numFmtId="3" fontId="2" fillId="2" borderId="10" xfId="0" applyNumberFormat="1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left" vertical="center"/>
    </xf>
    <xf numFmtId="3" fontId="2" fillId="2" borderId="6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2" borderId="4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 wrapText="1"/>
    </xf>
    <xf numFmtId="0" fontId="9" fillId="0" borderId="0" xfId="0" applyFont="1"/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2" borderId="12" xfId="0" applyNumberFormat="1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left" vertical="center" wrapText="1"/>
    </xf>
    <xf numFmtId="3" fontId="7" fillId="2" borderId="36" xfId="0" applyNumberFormat="1" applyFont="1" applyFill="1" applyBorder="1" applyAlignment="1">
      <alignment horizontal="left" vertical="center" wrapText="1"/>
    </xf>
    <xf numFmtId="3" fontId="7" fillId="2" borderId="67" xfId="0" applyNumberFormat="1" applyFont="1" applyFill="1" applyBorder="1" applyAlignment="1">
      <alignment horizontal="left" vertical="center" wrapText="1"/>
    </xf>
    <xf numFmtId="3" fontId="7" fillId="2" borderId="36" xfId="0" applyNumberFormat="1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left" vertical="center" wrapText="1"/>
    </xf>
    <xf numFmtId="3" fontId="7" fillId="2" borderId="14" xfId="0" applyNumberFormat="1" applyFont="1" applyFill="1" applyBorder="1" applyAlignment="1">
      <alignment horizontal="left" vertical="center" wrapText="1"/>
    </xf>
    <xf numFmtId="3" fontId="7" fillId="2" borderId="17" xfId="0" applyNumberFormat="1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left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left" vertical="center" wrapText="1"/>
    </xf>
    <xf numFmtId="3" fontId="3" fillId="2" borderId="67" xfId="0" applyNumberFormat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left" vertical="center" wrapText="1"/>
    </xf>
    <xf numFmtId="3" fontId="2" fillId="0" borderId="6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 wrapText="1"/>
    </xf>
    <xf numFmtId="3" fontId="10" fillId="2" borderId="0" xfId="0" applyNumberFormat="1" applyFont="1" applyFill="1" applyAlignment="1">
      <alignment horizontal="left" vertical="center"/>
    </xf>
    <xf numFmtId="3" fontId="2" fillId="0" borderId="15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" fontId="2" fillId="0" borderId="23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" fillId="0" borderId="64" xfId="0" applyNumberFormat="1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/>
    </xf>
    <xf numFmtId="3" fontId="5" fillId="2" borderId="56" xfId="0" applyNumberFormat="1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40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 vertical="center"/>
    </xf>
    <xf numFmtId="3" fontId="5" fillId="2" borderId="6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 wrapText="1"/>
    </xf>
    <xf numFmtId="3" fontId="5" fillId="2" borderId="56" xfId="0" applyNumberFormat="1" applyFont="1" applyFill="1" applyBorder="1" applyAlignment="1">
      <alignment horizontal="center" vertical="center" wrapText="1"/>
    </xf>
    <xf numFmtId="3" fontId="5" fillId="2" borderId="29" xfId="0" applyNumberFormat="1" applyFont="1" applyFill="1" applyBorder="1" applyAlignment="1">
      <alignment horizontal="center" vertical="center" wrapText="1"/>
    </xf>
    <xf numFmtId="3" fontId="5" fillId="2" borderId="6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left" vertical="center"/>
    </xf>
    <xf numFmtId="3" fontId="7" fillId="0" borderId="4" xfId="0" applyNumberFormat="1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0" borderId="17" xfId="0" applyNumberFormat="1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3" fontId="7" fillId="0" borderId="36" xfId="0" applyNumberFormat="1" applyFont="1" applyBorder="1" applyAlignment="1">
      <alignment horizontal="left" vertical="center" wrapText="1"/>
    </xf>
    <xf numFmtId="3" fontId="7" fillId="0" borderId="25" xfId="0" applyNumberFormat="1" applyFont="1" applyBorder="1" applyAlignment="1">
      <alignment horizontal="left" vertical="center"/>
    </xf>
    <xf numFmtId="3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9" fillId="0" borderId="14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3" fontId="7" fillId="0" borderId="7" xfId="0" applyNumberFormat="1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left" vertical="center"/>
    </xf>
    <xf numFmtId="3" fontId="7" fillId="0" borderId="11" xfId="0" applyNumberFormat="1" applyFont="1" applyBorder="1" applyAlignment="1">
      <alignment horizontal="left" vertical="center"/>
    </xf>
    <xf numFmtId="3" fontId="7" fillId="0" borderId="36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left" vertical="center"/>
    </xf>
    <xf numFmtId="0" fontId="7" fillId="2" borderId="25" xfId="0" applyFont="1" applyFill="1" applyBorder="1" applyAlignment="1">
      <alignment vertical="center"/>
    </xf>
    <xf numFmtId="3" fontId="7" fillId="0" borderId="23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67" xfId="0" applyFon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27" xfId="0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6" xfId="0" applyBorder="1" applyAlignment="1">
      <alignment vertical="center"/>
    </xf>
    <xf numFmtId="3" fontId="2" fillId="0" borderId="17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3" fontId="2" fillId="0" borderId="4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40" xfId="0" applyFont="1" applyBorder="1"/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/>
    <xf numFmtId="0" fontId="2" fillId="0" borderId="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3" fontId="2" fillId="0" borderId="49" xfId="0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3" fontId="2" fillId="0" borderId="48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5" xfId="0" applyBorder="1" applyAlignment="1">
      <alignment wrapText="1"/>
    </xf>
    <xf numFmtId="3" fontId="2" fillId="0" borderId="53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right" vertical="center" wrapText="1"/>
    </xf>
    <xf numFmtId="0" fontId="12" fillId="2" borderId="30" xfId="0" applyFont="1" applyFill="1" applyBorder="1" applyAlignment="1">
      <alignment horizontal="right" vertical="center" wrapText="1"/>
    </xf>
    <xf numFmtId="0" fontId="12" fillId="2" borderId="32" xfId="0" applyFont="1" applyFill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" fontId="7" fillId="2" borderId="40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Alignment="1">
      <alignment horizontal="left" vertical="center" wrapText="1"/>
    </xf>
    <xf numFmtId="1" fontId="12" fillId="2" borderId="16" xfId="0" applyNumberFormat="1" applyFont="1" applyFill="1" applyBorder="1" applyAlignment="1">
      <alignment horizontal="left" vertical="center" wrapText="1"/>
    </xf>
    <xf numFmtId="49" fontId="7" fillId="2" borderId="40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" fillId="0" borderId="56" xfId="0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9" fontId="7" fillId="2" borderId="40" xfId="0" applyNumberFormat="1" applyFont="1" applyFill="1" applyBorder="1" applyAlignment="1">
      <alignment horizontal="center" vertical="center" wrapText="1"/>
    </xf>
    <xf numFmtId="9" fontId="12" fillId="2" borderId="16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2">
    <cellStyle name="Обычный" xfId="0" builtinId="0"/>
    <cellStyle name="Обычный 2" xfId="1" xr:uid="{4481899D-C6F6-44FE-B48D-2ADAF56DB7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1069975</xdr:colOff>
      <xdr:row>2</xdr:row>
      <xdr:rowOff>269875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80" y="0"/>
          <a:ext cx="2657475" cy="94043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ergeyspirkin/Documents/&#1060;&#1080;&#1088;&#1084;&#1072;%20-%20&#1055;&#1088;&#1072;&#1080;&#774;&#1089;&#1099;%20&#1085;&#1072;&#1096;&#1080;%20&#1080;%20&#1082;&#1086;&#1085;&#1082;&#1091;&#1088;&#1077;&#1085;&#1090;&#1086;&#1074;/&#1055;&#1088;&#1072;&#1080;&#774;&#1089;%20&#1060;&#1052;&#1060;%20&#1048;&#1088;&#1073;&#1080;&#1089;%20&#1089;%202025-02-15%20&#1076;&#1083;&#1103;%20&#1084;&#1077;&#1073;&#1077;&#1083;&#1100;&#1085;&#1099;&#1093;%20&#1082;&#1086;&#1084;&#1087;&#1072;&#1085;&#1080;&#1080;&#774;.xlsx" TargetMode="External"/><Relationship Id="rId1" Type="http://schemas.openxmlformats.org/officeDocument/2006/relationships/externalLinkPath" Target="&#1055;&#1088;&#1072;&#1080;&#774;&#1089;%20&#1060;&#1052;&#1060;%20&#1048;&#1088;&#1073;&#1080;&#1089;%20&#1089;%202025-02-15%20&#1076;&#1083;&#1103;%20&#1084;&#1077;&#1073;&#1077;&#1083;&#1100;&#1085;&#1099;&#1093;%20&#1082;&#1086;&#1084;&#1087;&#1072;&#1085;&#1080;&#1080;&#7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Sergey/2022/&#1055;&#1088;&#1072;&#1081;&#1089;%20&#1083;&#1080;&#1089;&#1090;&#1099;%20&#1074;&#1089;&#1077;/Price_list_FMF_Irbis_2022-02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айс с 2025-02-15     стр1"/>
      <sheetName val="стр 2 "/>
      <sheetName val="стр 3"/>
      <sheetName val=" стр 4"/>
      <sheetName val="стр 5"/>
      <sheetName val="стр 6"/>
      <sheetName val="стр 7"/>
      <sheetName val="стр 8"/>
      <sheetName val="стр 9"/>
      <sheetName val="стр 10"/>
      <sheetName val="Формул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C10">
            <v>5550</v>
          </cell>
        </row>
        <row r="13">
          <cell r="C13">
            <v>5950</v>
          </cell>
        </row>
        <row r="24">
          <cell r="C24">
            <v>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айс с 2022-02-15     стр1"/>
      <sheetName val="стр 2 "/>
      <sheetName val="стр 3"/>
      <sheetName val=" стр 4"/>
      <sheetName val="стр 5"/>
      <sheetName val="стр 6"/>
      <sheetName val="стр 7"/>
      <sheetName val="стр 8"/>
      <sheetName val="стр 9"/>
      <sheetName val="стр 10"/>
      <sheetName val="стр 11"/>
      <sheetName val="Формул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view="pageBreakPreview" topLeftCell="A18" zoomScaleNormal="100" zoomScaleSheetLayoutView="100" workbookViewId="0">
      <selection activeCell="B40" sqref="B40"/>
    </sheetView>
  </sheetViews>
  <sheetFormatPr baseColWidth="10" defaultColWidth="9.1640625" defaultRowHeight="26.25" customHeight="1"/>
  <cols>
    <col min="1" max="1" width="1.6640625" style="24" customWidth="1"/>
    <col min="2" max="7" width="20.83203125" style="24" customWidth="1"/>
    <col min="8" max="8" width="1.6640625" style="7" customWidth="1"/>
    <col min="9" max="12" width="25.6640625" style="7" customWidth="1"/>
    <col min="13" max="17" width="25.6640625" style="24" customWidth="1"/>
    <col min="18" max="16384" width="9.1640625" style="24"/>
  </cols>
  <sheetData>
    <row r="1" spans="1:16" s="1" customFormat="1" ht="26.25" customHeight="1">
      <c r="B1" s="2"/>
      <c r="C1" s="3"/>
      <c r="D1" s="4"/>
      <c r="E1" s="5"/>
      <c r="F1" s="5"/>
      <c r="G1" s="6" t="s">
        <v>0</v>
      </c>
      <c r="H1" s="7"/>
      <c r="I1" s="7"/>
      <c r="J1" s="7"/>
      <c r="K1" s="7"/>
      <c r="L1" s="7"/>
    </row>
    <row r="2" spans="1:16" s="1" customFormat="1" ht="26.25" customHeight="1">
      <c r="B2" s="2"/>
      <c r="C2" s="3"/>
      <c r="D2" s="4"/>
      <c r="E2" s="5"/>
      <c r="F2" s="5"/>
      <c r="G2" s="6" t="s">
        <v>241</v>
      </c>
      <c r="H2" s="7"/>
      <c r="I2" s="7"/>
      <c r="J2" s="7"/>
      <c r="K2" s="7"/>
      <c r="L2" s="7"/>
    </row>
    <row r="3" spans="1:16" s="8" customFormat="1" ht="26.25" customHeight="1" thickBot="1">
      <c r="B3" s="110"/>
      <c r="C3" s="111"/>
      <c r="D3" s="112"/>
      <c r="E3" s="192" t="s">
        <v>1</v>
      </c>
      <c r="F3" s="193"/>
      <c r="G3" s="193"/>
      <c r="H3" s="7"/>
      <c r="I3" s="7"/>
      <c r="J3" s="7"/>
      <c r="K3" s="7"/>
      <c r="L3" s="7"/>
    </row>
    <row r="4" spans="1:16" s="1" customFormat="1" ht="26.25" customHeight="1">
      <c r="A4" s="8"/>
      <c r="B4" s="12"/>
      <c r="C4" s="2"/>
      <c r="D4" s="10"/>
      <c r="E4" s="11"/>
      <c r="F4" s="11"/>
      <c r="G4" s="6"/>
      <c r="H4" s="7"/>
      <c r="I4" s="7"/>
      <c r="J4" s="7"/>
      <c r="K4" s="7"/>
      <c r="L4" s="7"/>
      <c r="M4" s="8"/>
      <c r="N4" s="8"/>
    </row>
    <row r="5" spans="1:16" s="1" customFormat="1" ht="26.25" customHeight="1">
      <c r="A5" s="8"/>
      <c r="B5" s="12" t="s">
        <v>301</v>
      </c>
      <c r="C5" s="9"/>
      <c r="D5" s="10"/>
      <c r="E5" s="11"/>
      <c r="F5" s="11"/>
      <c r="G5" s="69" t="str">
        <f>Формулы!D1</f>
        <v>с 25.10.2025</v>
      </c>
      <c r="H5" s="7"/>
      <c r="I5" s="7"/>
      <c r="J5" s="7"/>
      <c r="K5" s="7"/>
      <c r="L5" s="7"/>
      <c r="M5" s="8"/>
      <c r="N5" s="8"/>
    </row>
    <row r="6" spans="1:16" s="1" customFormat="1" ht="26.25" customHeight="1">
      <c r="A6" s="8"/>
      <c r="B6" s="12" t="s">
        <v>2</v>
      </c>
      <c r="C6" s="41"/>
      <c r="D6" s="10"/>
      <c r="E6" s="11"/>
      <c r="F6" s="11"/>
      <c r="G6" s="67"/>
      <c r="H6" s="7"/>
      <c r="I6" s="7"/>
      <c r="J6" s="7"/>
      <c r="K6" s="7"/>
      <c r="L6" s="7"/>
      <c r="M6" s="8"/>
      <c r="N6" s="8"/>
    </row>
    <row r="7" spans="1:16" s="1" customFormat="1" ht="26.25" customHeight="1">
      <c r="A7" s="8"/>
      <c r="B7" s="12"/>
      <c r="C7" s="2" t="s">
        <v>3</v>
      </c>
      <c r="D7" s="10"/>
      <c r="E7" s="11"/>
      <c r="F7" s="11"/>
      <c r="G7" s="11"/>
      <c r="H7" s="7"/>
      <c r="I7" s="7"/>
      <c r="J7" s="7"/>
      <c r="K7" s="7"/>
      <c r="L7" s="7"/>
      <c r="M7" s="8"/>
      <c r="N7" s="8"/>
    </row>
    <row r="8" spans="1:16" s="1" customFormat="1" ht="26.25" customHeight="1">
      <c r="A8" s="8"/>
      <c r="B8" s="33" t="s">
        <v>285</v>
      </c>
      <c r="C8" s="9"/>
      <c r="D8" s="10"/>
      <c r="E8" s="11"/>
      <c r="F8" s="11"/>
      <c r="G8" s="11"/>
      <c r="H8" s="7"/>
      <c r="I8" s="7"/>
      <c r="J8" s="7"/>
      <c r="K8" s="7"/>
      <c r="L8" s="7"/>
      <c r="M8" s="8"/>
      <c r="N8" s="8"/>
    </row>
    <row r="9" spans="1:16" s="1" customFormat="1" ht="26.25" customHeight="1">
      <c r="A9" s="8"/>
      <c r="B9" s="33" t="s">
        <v>302</v>
      </c>
      <c r="C9" s="9"/>
      <c r="D9" s="10"/>
      <c r="E9" s="11"/>
      <c r="F9" s="11"/>
      <c r="G9" s="11"/>
      <c r="H9" s="7"/>
      <c r="I9" s="7"/>
      <c r="J9" s="7"/>
      <c r="K9" s="7"/>
      <c r="L9" s="7"/>
      <c r="M9" s="8"/>
      <c r="N9" s="8"/>
    </row>
    <row r="10" spans="1:16" s="1" customFormat="1" ht="26.25" customHeight="1">
      <c r="A10" s="8"/>
      <c r="B10" s="201" t="s">
        <v>264</v>
      </c>
      <c r="C10" s="202"/>
      <c r="D10" s="202"/>
      <c r="E10" s="202"/>
      <c r="F10" s="202"/>
      <c r="G10" s="202"/>
      <c r="H10" s="7"/>
      <c r="I10" s="7"/>
      <c r="J10" s="7"/>
      <c r="K10" s="7"/>
      <c r="L10" s="7"/>
      <c r="M10" s="8"/>
      <c r="N10" s="8"/>
    </row>
    <row r="11" spans="1:16" s="1" customFormat="1" ht="26.25" customHeight="1">
      <c r="A11" s="8"/>
      <c r="B11" s="202"/>
      <c r="C11" s="202"/>
      <c r="D11" s="202"/>
      <c r="E11" s="202"/>
      <c r="F11" s="202"/>
      <c r="G11" s="202"/>
      <c r="H11" s="7"/>
      <c r="I11" s="7"/>
      <c r="J11" s="7"/>
      <c r="K11" s="7"/>
      <c r="L11" s="7"/>
      <c r="M11" s="8"/>
      <c r="N11" s="8"/>
    </row>
    <row r="12" spans="1:16" s="8" customFormat="1" ht="26.25" customHeight="1" thickBot="1">
      <c r="B12" s="101" t="s">
        <v>4</v>
      </c>
      <c r="C12" s="7"/>
      <c r="D12" s="13"/>
      <c r="E12" s="11"/>
      <c r="F12" s="11"/>
      <c r="G12" s="11"/>
      <c r="H12" s="7"/>
      <c r="I12" s="7"/>
      <c r="J12" s="7"/>
      <c r="K12" s="7"/>
      <c r="L12" s="7"/>
    </row>
    <row r="13" spans="1:16" s="8" customFormat="1" ht="26.25" customHeight="1">
      <c r="B13" s="203" t="s">
        <v>5</v>
      </c>
      <c r="C13" s="190" t="s">
        <v>6</v>
      </c>
      <c r="D13" s="194" t="s">
        <v>7</v>
      </c>
      <c r="E13" s="195"/>
      <c r="F13" s="195"/>
      <c r="G13" s="196"/>
      <c r="H13" s="9"/>
      <c r="I13" s="9"/>
      <c r="J13" s="9"/>
      <c r="K13" s="9"/>
      <c r="L13" s="9"/>
      <c r="M13" s="9"/>
      <c r="N13" s="9"/>
      <c r="O13" s="9"/>
      <c r="P13" s="9"/>
    </row>
    <row r="14" spans="1:16" s="8" customFormat="1" ht="26.25" customHeight="1" thickBot="1">
      <c r="B14" s="191"/>
      <c r="C14" s="191"/>
      <c r="D14" s="86" t="s">
        <v>8</v>
      </c>
      <c r="E14" s="87" t="s">
        <v>9</v>
      </c>
      <c r="F14" s="87" t="s">
        <v>10</v>
      </c>
      <c r="G14" s="88" t="s">
        <v>11</v>
      </c>
      <c r="H14" s="9"/>
      <c r="I14" s="9"/>
      <c r="J14" s="9"/>
      <c r="K14" s="9"/>
      <c r="L14" s="9"/>
      <c r="M14" s="9"/>
      <c r="N14" s="9"/>
      <c r="O14" s="9"/>
      <c r="P14" s="9"/>
    </row>
    <row r="15" spans="1:16" s="8" customFormat="1" ht="26.25" customHeight="1">
      <c r="B15" s="44" t="s">
        <v>13</v>
      </c>
      <c r="C15" s="197" t="s">
        <v>12</v>
      </c>
      <c r="D15" s="108">
        <f>Стандарт_1</f>
        <v>4350</v>
      </c>
      <c r="E15" s="79">
        <f>Стандарт_1+Сложная_фрезеровка</f>
        <v>5350</v>
      </c>
      <c r="F15" s="79">
        <f>Стандарт_1+Сложная_фрезеровка_с_утопленной_вставкой</f>
        <v>5850</v>
      </c>
      <c r="G15" s="80">
        <f>Стандарт_1+Авиньон</f>
        <v>7350</v>
      </c>
      <c r="H15" s="9"/>
      <c r="I15" s="9"/>
      <c r="J15" s="9"/>
      <c r="K15" s="9"/>
      <c r="L15" s="9"/>
      <c r="M15" s="9"/>
      <c r="N15" s="9"/>
      <c r="O15" s="9"/>
      <c r="P15" s="9"/>
    </row>
    <row r="16" spans="1:16" s="8" customFormat="1" ht="26.25" customHeight="1">
      <c r="B16" s="63" t="s">
        <v>14</v>
      </c>
      <c r="C16" s="197"/>
      <c r="D16" s="109">
        <f>Стандарт_2</f>
        <v>4750</v>
      </c>
      <c r="E16" s="15">
        <f>Стандарт_2+Сложная_фрезеровка</f>
        <v>5750</v>
      </c>
      <c r="F16" s="15">
        <f>Стандарт_2+Сложная_фрезеровка_с_утопленной_вставкой</f>
        <v>6250</v>
      </c>
      <c r="G16" s="16">
        <f>Стандарт_2+Авиньон</f>
        <v>7750</v>
      </c>
      <c r="H16" s="9"/>
      <c r="I16" s="9"/>
      <c r="J16" s="9"/>
      <c r="K16" s="9"/>
      <c r="L16" s="9"/>
      <c r="M16" s="9"/>
      <c r="N16" s="9"/>
      <c r="O16" s="9"/>
      <c r="P16" s="9"/>
    </row>
    <row r="17" spans="2:16" s="8" customFormat="1" ht="26.25" customHeight="1">
      <c r="B17" s="63" t="s">
        <v>15</v>
      </c>
      <c r="C17" s="198"/>
      <c r="D17" s="109">
        <f>Стандарт_3</f>
        <v>4950</v>
      </c>
      <c r="E17" s="15">
        <f>Стандарт_3+Сложная_фрезеровка</f>
        <v>5950</v>
      </c>
      <c r="F17" s="15">
        <f>Стандарт_3+Сложная_фрезеровка_с_утопленной_вставкой</f>
        <v>6450</v>
      </c>
      <c r="G17" s="16">
        <f>Стандарт_3+Авиньон</f>
        <v>7950</v>
      </c>
      <c r="H17" s="9"/>
      <c r="I17" s="9"/>
      <c r="J17" s="9"/>
      <c r="K17" s="9"/>
      <c r="L17" s="9"/>
      <c r="M17" s="9"/>
      <c r="N17" s="9"/>
      <c r="O17" s="9"/>
      <c r="P17" s="9"/>
    </row>
    <row r="18" spans="2:16" s="8" customFormat="1" ht="26.25" customHeight="1">
      <c r="B18" s="65" t="s">
        <v>16</v>
      </c>
      <c r="C18" s="199"/>
      <c r="D18" s="107">
        <f>Стандарт_4</f>
        <v>5350</v>
      </c>
      <c r="E18" s="98">
        <f>Стандарт_4+Сложная_фрезеровка</f>
        <v>6350</v>
      </c>
      <c r="F18" s="98">
        <f>Стандарт_4+Сложная_фрезеровка_с_утопленной_вставкой</f>
        <v>6850</v>
      </c>
      <c r="G18" s="17">
        <f>Стандарт_4+Авиньон</f>
        <v>8350</v>
      </c>
      <c r="H18" s="9"/>
      <c r="I18" s="9"/>
      <c r="J18" s="9"/>
      <c r="K18" s="9"/>
      <c r="L18" s="9"/>
      <c r="M18" s="9"/>
      <c r="N18" s="9"/>
      <c r="O18" s="9"/>
      <c r="P18" s="9"/>
    </row>
    <row r="19" spans="2:16" s="8" customFormat="1" ht="26.25" customHeight="1" thickBot="1">
      <c r="B19" s="65" t="s">
        <v>242</v>
      </c>
      <c r="C19" s="200"/>
      <c r="D19" s="107">
        <f>Стандарт_5</f>
        <v>5550</v>
      </c>
      <c r="E19" s="98">
        <f>Стандарт_5+Сложная_фрезеровка</f>
        <v>6550</v>
      </c>
      <c r="F19" s="98">
        <f>Стандарт_5+Сложная_фрезеровка_с_утопленной_вставкой</f>
        <v>7050</v>
      </c>
      <c r="G19" s="17">
        <f>Стандарт_5+Авиньон</f>
        <v>8550</v>
      </c>
      <c r="H19" s="9"/>
      <c r="I19" s="9"/>
      <c r="J19" s="9"/>
      <c r="K19" s="9"/>
      <c r="L19" s="9"/>
      <c r="M19" s="9"/>
      <c r="N19" s="9"/>
      <c r="O19" s="9"/>
      <c r="P19" s="9"/>
    </row>
    <row r="20" spans="2:16" s="8" customFormat="1" ht="26.25" customHeight="1" thickBot="1">
      <c r="B20" s="115" t="s">
        <v>263</v>
      </c>
      <c r="C20" s="114"/>
      <c r="D20" s="53">
        <f>Престиж_А</f>
        <v>5950</v>
      </c>
      <c r="E20" s="47">
        <f>Престиж_А+Сложная_фрезеровка</f>
        <v>6950</v>
      </c>
      <c r="F20" s="47">
        <f>Престиж_А+Сложная_фрезеровка_с_утопленной_вставкой</f>
        <v>7450</v>
      </c>
      <c r="G20" s="38">
        <f>Престиж_А+Авиньон</f>
        <v>8950</v>
      </c>
      <c r="H20" s="9"/>
      <c r="I20" s="9"/>
      <c r="J20" s="9"/>
      <c r="K20" s="9"/>
      <c r="L20" s="9"/>
      <c r="M20" s="9"/>
      <c r="N20" s="9"/>
      <c r="O20" s="9"/>
      <c r="P20" s="9"/>
    </row>
    <row r="21" spans="2:16" s="8" customFormat="1" ht="26.25" customHeight="1">
      <c r="B21" s="81" t="s">
        <v>17</v>
      </c>
      <c r="C21" s="190" t="s">
        <v>300</v>
      </c>
      <c r="D21" s="94">
        <f>Престиж_1</f>
        <v>6450</v>
      </c>
      <c r="E21" s="95">
        <f>Престиж_1+Сложная_фрезеровка</f>
        <v>7450</v>
      </c>
      <c r="F21" s="95">
        <f>Престиж_1+Сложная_фрезеровка_с_утопленной_вставкой</f>
        <v>7950</v>
      </c>
      <c r="G21" s="75">
        <f>Престиж_1+Авиньон</f>
        <v>9450</v>
      </c>
      <c r="H21" s="9"/>
      <c r="I21" s="9"/>
      <c r="J21" s="9"/>
      <c r="K21" s="9"/>
      <c r="L21" s="9"/>
      <c r="M21" s="9"/>
      <c r="N21" s="9"/>
      <c r="O21" s="9"/>
      <c r="P21" s="9"/>
    </row>
    <row r="22" spans="2:16" s="8" customFormat="1" ht="26.25" customHeight="1" thickBot="1">
      <c r="B22" s="82" t="s">
        <v>18</v>
      </c>
      <c r="C22" s="191"/>
      <c r="D22" s="18">
        <f>Престиж_2</f>
        <v>6950</v>
      </c>
      <c r="E22" s="19">
        <f>Престиж_2+Сложная_фрезеровка</f>
        <v>7950</v>
      </c>
      <c r="F22" s="19">
        <f>Престиж_2+Сложная_фрезеровка_с_утопленной_вставкой</f>
        <v>8450</v>
      </c>
      <c r="G22" s="20">
        <f>Престиж_2+Авиньон</f>
        <v>9950</v>
      </c>
      <c r="H22" s="9"/>
      <c r="I22" s="9"/>
      <c r="J22" s="9"/>
      <c r="K22" s="9"/>
      <c r="L22" s="9"/>
      <c r="M22" s="9"/>
      <c r="N22" s="9"/>
      <c r="O22" s="9"/>
      <c r="P22" s="9"/>
    </row>
    <row r="23" spans="2:16" s="8" customFormat="1" ht="26.25" customHeight="1">
      <c r="B23" s="2"/>
      <c r="C23" s="7"/>
      <c r="D23" s="10"/>
      <c r="E23" s="10"/>
      <c r="F23" s="10"/>
      <c r="G23" s="10"/>
      <c r="H23" s="9"/>
      <c r="I23" s="9"/>
      <c r="J23" s="9"/>
      <c r="K23" s="9"/>
      <c r="L23" s="9"/>
      <c r="M23" s="9"/>
      <c r="N23" s="9"/>
      <c r="O23" s="9"/>
      <c r="P23" s="9"/>
    </row>
    <row r="24" spans="2:16" s="13" customFormat="1" ht="26.25" customHeight="1" thickBot="1">
      <c r="B24" s="21" t="s">
        <v>19</v>
      </c>
      <c r="E24" s="22"/>
      <c r="F24" s="23"/>
    </row>
    <row r="25" spans="2:16" s="8" customFormat="1" ht="26.25" customHeight="1">
      <c r="B25" s="203" t="s">
        <v>20</v>
      </c>
      <c r="C25" s="190" t="s">
        <v>6</v>
      </c>
      <c r="D25" s="194" t="s">
        <v>7</v>
      </c>
      <c r="E25" s="195"/>
      <c r="F25" s="195"/>
      <c r="G25" s="196"/>
      <c r="H25" s="9"/>
      <c r="I25" s="9"/>
      <c r="J25" s="9"/>
      <c r="K25" s="9"/>
      <c r="L25" s="9"/>
      <c r="M25" s="9"/>
      <c r="N25" s="9"/>
      <c r="O25" s="9"/>
      <c r="P25" s="9"/>
    </row>
    <row r="26" spans="2:16" s="8" customFormat="1" ht="26.25" customHeight="1" thickBot="1">
      <c r="B26" s="191"/>
      <c r="C26" s="191"/>
      <c r="D26" s="86" t="s">
        <v>8</v>
      </c>
      <c r="E26" s="87" t="s">
        <v>9</v>
      </c>
      <c r="F26" s="87" t="s">
        <v>10</v>
      </c>
      <c r="G26" s="88" t="s">
        <v>11</v>
      </c>
      <c r="H26" s="9"/>
      <c r="I26" s="9"/>
      <c r="J26" s="9"/>
      <c r="K26" s="9"/>
      <c r="L26" s="9"/>
      <c r="M26" s="9"/>
      <c r="N26" s="9"/>
      <c r="O26" s="9"/>
      <c r="P26" s="9"/>
    </row>
    <row r="27" spans="2:16" s="8" customFormat="1" ht="26.25" customHeight="1">
      <c r="B27" s="105" t="s">
        <v>13</v>
      </c>
      <c r="C27" s="197" t="s">
        <v>12</v>
      </c>
      <c r="D27" s="78">
        <f>Стандарт_1+Плита_19_мм</f>
        <v>4850</v>
      </c>
      <c r="E27" s="79">
        <f>Стандарт_1+Сложная_фрезеровка+Плита_19_мм</f>
        <v>5850</v>
      </c>
      <c r="F27" s="79">
        <f>Стандарт_1+Сложная_фрезеровка_с_утопленной_вставкой+Плита_19_мм</f>
        <v>6350</v>
      </c>
      <c r="G27" s="80">
        <f>Стандарт_1+Авиньон+Плита_19_мм</f>
        <v>7850</v>
      </c>
      <c r="H27" s="9"/>
      <c r="I27" s="9"/>
      <c r="J27" s="9"/>
      <c r="K27" s="9"/>
      <c r="L27" s="9"/>
      <c r="M27" s="9"/>
      <c r="N27" s="9"/>
      <c r="O27" s="9"/>
      <c r="P27" s="9"/>
    </row>
    <row r="28" spans="2:16" s="8" customFormat="1" ht="26.25" customHeight="1">
      <c r="B28" s="104" t="s">
        <v>14</v>
      </c>
      <c r="C28" s="197"/>
      <c r="D28" s="14">
        <f>Стандарт_2+Плита_19_мм</f>
        <v>5250</v>
      </c>
      <c r="E28" s="15">
        <f>Стандарт_2+Сложная_фрезеровка+Плита_19_мм</f>
        <v>6250</v>
      </c>
      <c r="F28" s="15">
        <f>Стандарт_2+Сложная_фрезеровка_с_утопленной_вставкой+Плита_19_мм</f>
        <v>6750</v>
      </c>
      <c r="G28" s="16">
        <f>Стандарт_2+Авиньон+Плита_19_мм</f>
        <v>8250</v>
      </c>
      <c r="H28" s="9"/>
      <c r="I28" s="9"/>
      <c r="J28" s="9"/>
      <c r="K28" s="9"/>
      <c r="L28" s="9"/>
      <c r="M28" s="9"/>
      <c r="N28" s="9"/>
      <c r="O28" s="9"/>
      <c r="P28" s="9"/>
    </row>
    <row r="29" spans="2:16" s="8" customFormat="1" ht="26.25" customHeight="1">
      <c r="B29" s="104" t="s">
        <v>15</v>
      </c>
      <c r="C29" s="198"/>
      <c r="D29" s="14">
        <f>Стандарт_3+Плита_19_мм</f>
        <v>5450</v>
      </c>
      <c r="E29" s="15">
        <f>Стандарт_3+Сложная_фрезеровка+Плита_19_мм</f>
        <v>6450</v>
      </c>
      <c r="F29" s="15">
        <f>Стандарт_3+Сложная_фрезеровка_с_утопленной_вставкой+Плита_19_мм</f>
        <v>6950</v>
      </c>
      <c r="G29" s="16">
        <f>Стандарт_3+Авиньон+Плита_19_мм</f>
        <v>8450</v>
      </c>
      <c r="H29" s="9"/>
      <c r="I29" s="9"/>
      <c r="J29" s="9"/>
      <c r="K29" s="9"/>
      <c r="L29" s="9"/>
      <c r="M29" s="9"/>
      <c r="N29" s="9"/>
      <c r="O29" s="9"/>
      <c r="P29" s="9"/>
    </row>
    <row r="30" spans="2:16" s="8" customFormat="1" ht="26.25" customHeight="1">
      <c r="B30" s="106" t="s">
        <v>16</v>
      </c>
      <c r="C30" s="199"/>
      <c r="D30" s="14">
        <f>Стандарт_4+Плита_19_мм</f>
        <v>5850</v>
      </c>
      <c r="E30" s="15">
        <f>Стандарт_4+Сложная_фрезеровка+Плита_19_мм</f>
        <v>6850</v>
      </c>
      <c r="F30" s="15">
        <f>Стандарт_4+Сложная_фрезеровка_с_утопленной_вставкой+Плита_19_мм</f>
        <v>7350</v>
      </c>
      <c r="G30" s="16">
        <f>Стандарт_4+Авиньон+Плита_19_мм</f>
        <v>8850</v>
      </c>
      <c r="H30" s="9"/>
      <c r="I30" s="9"/>
      <c r="J30" s="9"/>
      <c r="K30" s="9"/>
      <c r="L30" s="9"/>
      <c r="M30" s="9"/>
      <c r="N30" s="9"/>
      <c r="O30" s="9"/>
      <c r="P30" s="9"/>
    </row>
    <row r="31" spans="2:16" s="8" customFormat="1" ht="26.25" customHeight="1" thickBot="1">
      <c r="B31" s="82" t="s">
        <v>242</v>
      </c>
      <c r="C31" s="200"/>
      <c r="D31" s="18">
        <f>Стандарт_5+Плита_19_мм</f>
        <v>6050</v>
      </c>
      <c r="E31" s="19">
        <f>Стандарт_5+Сложная_фрезеровка+Плита_19_мм</f>
        <v>7050</v>
      </c>
      <c r="F31" s="19">
        <f>Стандарт_5+Сложная_фрезеровка_с_утопленной_вставкой+Плита_19_мм</f>
        <v>7550</v>
      </c>
      <c r="G31" s="20">
        <f>Стандарт_5+Авиньон+Плита_19_мм</f>
        <v>9050</v>
      </c>
      <c r="H31" s="9"/>
      <c r="I31" s="9"/>
      <c r="J31" s="9"/>
      <c r="K31" s="9"/>
      <c r="L31" s="9"/>
      <c r="M31" s="9"/>
      <c r="N31" s="9"/>
      <c r="O31" s="9"/>
      <c r="P31" s="9"/>
    </row>
    <row r="32" spans="2:16" s="8" customFormat="1" ht="26.25" customHeight="1" thickBot="1">
      <c r="B32" s="115" t="s">
        <v>263</v>
      </c>
      <c r="C32" s="114"/>
      <c r="D32" s="53">
        <f>Престиж_А+Плита_19_мм</f>
        <v>6450</v>
      </c>
      <c r="E32" s="47">
        <f>Престиж_А+Сложная_фрезеровка+Плита_19_мм</f>
        <v>7450</v>
      </c>
      <c r="F32" s="47">
        <f>Престиж_А+Сложная_фрезеровка_с_утопленной_вставкой+Плита_19_мм</f>
        <v>7950</v>
      </c>
      <c r="G32" s="38">
        <f>Престиж_А+Авиньон+Плита_19_мм</f>
        <v>9450</v>
      </c>
      <c r="H32" s="9"/>
      <c r="I32" s="9"/>
      <c r="J32" s="9"/>
      <c r="K32" s="9"/>
      <c r="L32" s="9"/>
      <c r="M32" s="9"/>
      <c r="N32" s="9"/>
      <c r="O32" s="9"/>
      <c r="P32" s="9"/>
    </row>
    <row r="33" spans="1:16" s="8" customFormat="1" ht="26.25" customHeight="1">
      <c r="B33" s="81" t="s">
        <v>17</v>
      </c>
      <c r="C33" s="190" t="s">
        <v>300</v>
      </c>
      <c r="D33" s="94">
        <f>Престиж_1+Плита_19_мм</f>
        <v>6950</v>
      </c>
      <c r="E33" s="95">
        <f>Престиж_1+Сложная_фрезеровка+Плита_19_мм</f>
        <v>7950</v>
      </c>
      <c r="F33" s="95">
        <f>Престиж_1+Сложная_фрезеровка_с_утопленной_вставкой+Плита_19_мм</f>
        <v>8450</v>
      </c>
      <c r="G33" s="75">
        <f>Престиж_1+Авиньон+Плита_19_мм</f>
        <v>9950</v>
      </c>
      <c r="H33" s="9"/>
      <c r="I33" s="9"/>
      <c r="J33" s="9"/>
      <c r="K33" s="9"/>
      <c r="L33" s="9"/>
      <c r="M33" s="9"/>
      <c r="N33" s="9"/>
      <c r="O33" s="9"/>
      <c r="P33" s="9"/>
    </row>
    <row r="34" spans="1:16" s="8" customFormat="1" ht="26.25" customHeight="1" thickBot="1">
      <c r="B34" s="82" t="s">
        <v>18</v>
      </c>
      <c r="C34" s="191"/>
      <c r="D34" s="18">
        <f>Престиж_2+Плита_19_мм</f>
        <v>7450</v>
      </c>
      <c r="E34" s="19">
        <f>Престиж_2+Сложная_фрезеровка+Плита_19_мм</f>
        <v>8450</v>
      </c>
      <c r="F34" s="19">
        <f>Престиж_2+Сложная_фрезеровка_с_утопленной_вставкой+Плита_19_мм</f>
        <v>8950</v>
      </c>
      <c r="G34" s="20">
        <f>Престиж_2+Авиньон+Плита_19_мм</f>
        <v>10450</v>
      </c>
      <c r="H34" s="9"/>
      <c r="I34" s="9"/>
      <c r="J34" s="9"/>
      <c r="K34" s="9"/>
      <c r="L34" s="9"/>
      <c r="M34" s="9"/>
      <c r="N34" s="9"/>
      <c r="O34" s="9"/>
      <c r="P34" s="9"/>
    </row>
    <row r="35" spans="1:16" s="13" customFormat="1" ht="26.25" customHeight="1">
      <c r="C35" s="10"/>
      <c r="D35" s="10"/>
    </row>
    <row r="36" spans="1:16" s="1" customFormat="1" ht="26.25" customHeight="1">
      <c r="A36" s="8"/>
      <c r="B36" s="101" t="s">
        <v>21</v>
      </c>
      <c r="C36" s="7"/>
      <c r="D36" s="13"/>
      <c r="E36" s="11"/>
      <c r="F36" s="11"/>
      <c r="G36" s="27"/>
      <c r="H36" s="7"/>
      <c r="I36" s="7"/>
      <c r="J36" s="7"/>
      <c r="K36" s="7"/>
      <c r="L36" s="7"/>
      <c r="M36" s="8"/>
      <c r="N36" s="8"/>
    </row>
    <row r="37" spans="1:16" s="8" customFormat="1" ht="26.25" customHeight="1">
      <c r="B37" s="9"/>
      <c r="C37" s="42"/>
      <c r="D37" s="10"/>
      <c r="E37" s="6" t="s">
        <v>22</v>
      </c>
      <c r="F37" s="76" t="str">
        <f>TEXT(Основа_гнутого_фасада,"+ # ##0")</f>
        <v>+ 7 000</v>
      </c>
      <c r="G37" s="74" t="s">
        <v>23</v>
      </c>
      <c r="H37" s="9"/>
      <c r="I37" s="9"/>
      <c r="J37" s="9"/>
      <c r="K37" s="9"/>
      <c r="L37" s="9"/>
      <c r="M37" s="9"/>
      <c r="N37" s="9"/>
      <c r="O37" s="9"/>
      <c r="P37" s="9"/>
    </row>
    <row r="38" spans="1:16" s="8" customFormat="1" ht="26.25" customHeight="1">
      <c r="B38" s="23" t="s">
        <v>332</v>
      </c>
      <c r="C38" s="7"/>
      <c r="D38" s="10"/>
      <c r="E38" s="10"/>
      <c r="F38" s="10"/>
      <c r="G38" s="10"/>
      <c r="H38" s="9"/>
      <c r="I38" s="9"/>
      <c r="J38" s="9"/>
      <c r="K38" s="9"/>
      <c r="L38" s="9"/>
      <c r="M38" s="9"/>
      <c r="N38" s="9"/>
      <c r="O38" s="9"/>
      <c r="P38" s="9"/>
    </row>
    <row r="40" spans="1:16" s="8" customFormat="1" ht="26.25" customHeight="1">
      <c r="B40" s="21" t="s">
        <v>24</v>
      </c>
      <c r="C40" s="7"/>
      <c r="D40" s="72"/>
      <c r="E40" s="10"/>
      <c r="F40" s="10"/>
      <c r="G40" s="10"/>
      <c r="H40" s="9"/>
      <c r="I40" s="9"/>
      <c r="J40" s="9"/>
      <c r="K40" s="9"/>
      <c r="L40" s="9"/>
      <c r="M40" s="9"/>
      <c r="N40" s="9"/>
      <c r="O40" s="9"/>
      <c r="P40" s="9"/>
    </row>
    <row r="42" spans="1:16" s="1" customFormat="1" ht="26.25" customHeight="1">
      <c r="A42" s="8"/>
      <c r="B42" s="101" t="s">
        <v>364</v>
      </c>
      <c r="C42" s="7"/>
      <c r="D42" s="13"/>
      <c r="E42" s="11"/>
      <c r="F42" s="11"/>
      <c r="G42" s="11"/>
      <c r="H42" s="7"/>
      <c r="I42" s="7"/>
      <c r="J42" s="7"/>
      <c r="K42" s="7"/>
      <c r="L42" s="7"/>
      <c r="M42" s="8"/>
      <c r="N42" s="8"/>
    </row>
    <row r="43" spans="1:16" s="8" customFormat="1" ht="26.25" customHeight="1">
      <c r="B43" s="21"/>
      <c r="C43" s="7"/>
      <c r="D43" s="72"/>
      <c r="E43" s="6" t="s">
        <v>365</v>
      </c>
      <c r="F43" s="76" t="str">
        <f>TEXT(Патина,"+ # ##0")</f>
        <v>+ 3 000</v>
      </c>
      <c r="G43" s="74" t="s">
        <v>23</v>
      </c>
      <c r="H43" s="9"/>
      <c r="I43" s="9"/>
      <c r="J43" s="9"/>
      <c r="K43" s="9"/>
      <c r="L43" s="9"/>
      <c r="M43" s="9"/>
      <c r="N43" s="9"/>
      <c r="O43" s="9"/>
      <c r="P43" s="9"/>
    </row>
    <row r="44" spans="1:16" ht="26.25" customHeight="1">
      <c r="H44" s="25" t="s">
        <v>25</v>
      </c>
    </row>
  </sheetData>
  <mergeCells count="12">
    <mergeCell ref="C33:C34"/>
    <mergeCell ref="E3:G3"/>
    <mergeCell ref="D13:G13"/>
    <mergeCell ref="D25:G25"/>
    <mergeCell ref="C15:C19"/>
    <mergeCell ref="C27:C31"/>
    <mergeCell ref="B10:G11"/>
    <mergeCell ref="B25:B26"/>
    <mergeCell ref="B13:B14"/>
    <mergeCell ref="C13:C14"/>
    <mergeCell ref="C25:C26"/>
    <mergeCell ref="C21:C22"/>
  </mergeCells>
  <phoneticPr fontId="1" type="noConversion"/>
  <pageMargins left="0.70866141699999996" right="0.25" top="0.5" bottom="0.35433070900000002" header="6.4960630000000005E-2" footer="0.31496062992126"/>
  <pageSetup paperSize="9" scale="66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2040-17C8-1F45-95C2-4B528BDAC234}">
  <sheetPr>
    <pageSetUpPr fitToPage="1"/>
  </sheetPr>
  <dimension ref="B1:O47"/>
  <sheetViews>
    <sheetView view="pageBreakPreview" topLeftCell="B1" zoomScale="150" zoomScaleNormal="150" zoomScaleSheetLayoutView="150" workbookViewId="0">
      <selection activeCell="F27" sqref="F27"/>
    </sheetView>
  </sheetViews>
  <sheetFormatPr baseColWidth="10" defaultColWidth="9.1640625" defaultRowHeight="26.25" customHeight="1"/>
  <cols>
    <col min="1" max="1" width="1.6640625" style="26" customWidth="1"/>
    <col min="2" max="7" width="20.83203125" style="26" customWidth="1"/>
    <col min="8" max="8" width="1.6640625" style="30" customWidth="1"/>
    <col min="9" max="9" width="25.6640625" style="33" customWidth="1"/>
    <col min="10" max="11" width="25.6640625" style="30" customWidth="1"/>
    <col min="12" max="16" width="25.6640625" style="26" customWidth="1"/>
    <col min="17" max="16384" width="9.1640625" style="26"/>
  </cols>
  <sheetData>
    <row r="1" spans="2:15" s="30" customFormat="1" ht="26.25" customHeight="1">
      <c r="B1" s="33" t="s">
        <v>342</v>
      </c>
      <c r="C1" s="36"/>
      <c r="D1" s="37"/>
      <c r="E1" s="32"/>
      <c r="F1" s="32"/>
      <c r="G1" s="32"/>
      <c r="I1" s="33"/>
      <c r="L1" s="26"/>
      <c r="M1" s="26"/>
      <c r="N1" s="26"/>
      <c r="O1" s="26"/>
    </row>
    <row r="3" spans="2:15" ht="26.25" customHeight="1">
      <c r="B3" s="84" t="s">
        <v>385</v>
      </c>
      <c r="C3" s="33"/>
      <c r="K3" s="26"/>
    </row>
    <row r="4" spans="2:15" s="30" customFormat="1" ht="26.25" customHeight="1">
      <c r="C4" s="26"/>
      <c r="D4" s="73"/>
      <c r="E4" s="26"/>
      <c r="F4" s="26"/>
      <c r="G4" s="32"/>
      <c r="I4" s="33"/>
      <c r="L4" s="26"/>
      <c r="M4" s="26"/>
      <c r="N4" s="26"/>
      <c r="O4" s="26"/>
    </row>
    <row r="5" spans="2:15" s="30" customFormat="1" ht="26.25" customHeight="1">
      <c r="C5" s="26" t="s">
        <v>345</v>
      </c>
      <c r="D5" s="73"/>
      <c r="E5" s="26"/>
      <c r="F5" s="26"/>
      <c r="G5" s="32"/>
      <c r="I5" s="33"/>
      <c r="L5" s="26"/>
      <c r="M5" s="26"/>
      <c r="N5" s="26"/>
      <c r="O5" s="26"/>
    </row>
    <row r="6" spans="2:15" s="30" customFormat="1" ht="26.25" customHeight="1">
      <c r="B6" s="84"/>
      <c r="C6" s="26" t="s">
        <v>346</v>
      </c>
      <c r="D6" s="158"/>
      <c r="E6" s="158"/>
      <c r="F6" s="26"/>
      <c r="G6" s="32"/>
      <c r="I6" s="33"/>
      <c r="L6" s="26"/>
      <c r="M6" s="26"/>
      <c r="N6" s="26"/>
      <c r="O6" s="26"/>
    </row>
    <row r="7" spans="2:15" s="30" customFormat="1" ht="26.25" customHeight="1">
      <c r="C7" s="33" t="s">
        <v>348</v>
      </c>
      <c r="D7" s="159"/>
      <c r="E7" s="160"/>
      <c r="F7" s="26"/>
      <c r="G7" s="32"/>
      <c r="I7" s="33"/>
      <c r="L7" s="26"/>
      <c r="M7" s="26"/>
      <c r="N7" s="26"/>
      <c r="O7" s="26"/>
    </row>
    <row r="8" spans="2:15" s="30" customFormat="1" ht="26.25" customHeight="1">
      <c r="B8" s="84"/>
      <c r="C8" s="33" t="s">
        <v>347</v>
      </c>
      <c r="D8" s="159"/>
      <c r="E8" s="160"/>
      <c r="F8" s="26"/>
      <c r="G8" s="32"/>
      <c r="I8" s="33"/>
      <c r="L8" s="26"/>
      <c r="M8" s="26"/>
      <c r="N8" s="26"/>
      <c r="O8" s="26"/>
    </row>
    <row r="9" spans="2:15" s="30" customFormat="1" ht="26.25" customHeight="1">
      <c r="C9" s="33" t="s">
        <v>382</v>
      </c>
      <c r="D9" s="159"/>
      <c r="E9" s="160"/>
      <c r="F9" s="26"/>
      <c r="G9" s="32"/>
      <c r="I9" s="33"/>
      <c r="L9" s="26"/>
      <c r="M9" s="26"/>
      <c r="N9" s="26"/>
      <c r="O9" s="26"/>
    </row>
    <row r="10" spans="2:15" s="30" customFormat="1" ht="26.25" customHeight="1">
      <c r="C10" s="26" t="s">
        <v>349</v>
      </c>
      <c r="D10" s="159"/>
      <c r="E10" s="160"/>
      <c r="F10" s="26"/>
      <c r="G10" s="32"/>
      <c r="I10" s="33"/>
      <c r="L10" s="26"/>
      <c r="M10" s="26"/>
      <c r="N10" s="26"/>
      <c r="O10" s="26"/>
    </row>
    <row r="11" spans="2:15" s="30" customFormat="1" ht="26.25" customHeight="1">
      <c r="B11" s="84"/>
      <c r="C11" s="26" t="s">
        <v>353</v>
      </c>
      <c r="D11" s="159"/>
      <c r="E11" s="160"/>
      <c r="F11" s="26"/>
      <c r="G11" s="32"/>
      <c r="I11" s="33"/>
      <c r="L11" s="26"/>
      <c r="M11" s="26"/>
      <c r="N11" s="26"/>
      <c r="O11" s="26"/>
    </row>
    <row r="12" spans="2:15" s="30" customFormat="1" ht="26.25" customHeight="1">
      <c r="C12" s="33" t="s">
        <v>350</v>
      </c>
      <c r="D12" s="159"/>
      <c r="E12" s="160"/>
      <c r="F12" s="26"/>
      <c r="G12" s="32"/>
      <c r="I12" s="33"/>
      <c r="L12" s="26"/>
      <c r="M12" s="26"/>
      <c r="N12" s="26"/>
      <c r="O12" s="26"/>
    </row>
    <row r="13" spans="2:15" ht="26.25" customHeight="1">
      <c r="B13" s="84"/>
      <c r="C13" s="33" t="s">
        <v>351</v>
      </c>
      <c r="K13" s="26"/>
    </row>
    <row r="14" spans="2:15" ht="26.25" customHeight="1">
      <c r="B14" s="84"/>
      <c r="C14" s="33" t="s">
        <v>352</v>
      </c>
      <c r="K14" s="26"/>
    </row>
    <row r="15" spans="2:15" ht="26.25" customHeight="1">
      <c r="B15" s="84"/>
      <c r="C15" s="33"/>
      <c r="K15" s="26"/>
    </row>
    <row r="16" spans="2:15" ht="26.25" customHeight="1">
      <c r="C16" s="84"/>
    </row>
    <row r="17" spans="2:15" ht="26.25" customHeight="1">
      <c r="B17" s="84" t="s">
        <v>386</v>
      </c>
      <c r="K17" s="26"/>
    </row>
    <row r="18" spans="2:15" ht="26.25" customHeight="1">
      <c r="F18" s="157"/>
      <c r="K18" s="26"/>
    </row>
    <row r="19" spans="2:15" s="30" customFormat="1" ht="26.25" customHeight="1">
      <c r="C19" s="26" t="s">
        <v>331</v>
      </c>
      <c r="D19" s="73"/>
      <c r="E19" s="26"/>
      <c r="F19" s="103"/>
      <c r="G19" s="32"/>
      <c r="I19" s="33"/>
      <c r="L19" s="26"/>
      <c r="M19" s="26"/>
      <c r="N19" s="26"/>
      <c r="O19" s="26"/>
    </row>
    <row r="20" spans="2:15" s="30" customFormat="1" ht="26.25" customHeight="1">
      <c r="C20" s="33" t="s">
        <v>73</v>
      </c>
      <c r="D20" s="73"/>
      <c r="E20" s="26"/>
      <c r="F20" s="103"/>
      <c r="G20" s="32"/>
      <c r="I20" s="33"/>
      <c r="L20" s="26"/>
      <c r="M20" s="26"/>
      <c r="N20" s="26"/>
      <c r="O20" s="26"/>
    </row>
    <row r="21" spans="2:15" ht="26.25" customHeight="1">
      <c r="F21" s="157"/>
      <c r="K21" s="26"/>
    </row>
    <row r="22" spans="2:15" ht="26.25" customHeight="1">
      <c r="F22" s="157"/>
      <c r="K22" s="26"/>
    </row>
    <row r="23" spans="2:15" s="30" customFormat="1" ht="26.25" customHeight="1">
      <c r="B23" s="84" t="s">
        <v>343</v>
      </c>
      <c r="C23" s="26"/>
      <c r="D23" s="32"/>
      <c r="E23" s="32"/>
      <c r="F23" s="26"/>
      <c r="G23" s="32"/>
      <c r="I23" s="33"/>
      <c r="L23" s="26"/>
      <c r="M23" s="26"/>
      <c r="N23" s="26"/>
      <c r="O23" s="26"/>
    </row>
    <row r="24" spans="2:15" s="30" customFormat="1" ht="26.25" customHeight="1">
      <c r="C24" s="26"/>
      <c r="D24" s="32"/>
      <c r="E24" s="26"/>
      <c r="F24" s="26"/>
      <c r="G24" s="32"/>
      <c r="I24" s="33"/>
      <c r="L24" s="26"/>
      <c r="M24" s="26"/>
      <c r="N24" s="26"/>
      <c r="O24" s="26"/>
    </row>
    <row r="25" spans="2:15" s="30" customFormat="1" ht="26.25" customHeight="1">
      <c r="B25" s="84"/>
      <c r="C25" s="26" t="s">
        <v>363</v>
      </c>
      <c r="D25" s="32"/>
      <c r="E25" s="32"/>
      <c r="F25" s="26"/>
      <c r="G25" s="32"/>
      <c r="I25" s="33"/>
      <c r="L25" s="26"/>
      <c r="M25" s="26"/>
      <c r="N25" s="26"/>
      <c r="O25" s="26"/>
    </row>
    <row r="26" spans="2:15" s="30" customFormat="1" ht="26.25" customHeight="1">
      <c r="B26" s="84"/>
      <c r="C26" s="33" t="s">
        <v>335</v>
      </c>
      <c r="D26" s="32"/>
      <c r="E26" s="32"/>
      <c r="F26" s="26"/>
      <c r="G26" s="32"/>
      <c r="I26" s="33"/>
      <c r="L26" s="26"/>
      <c r="M26" s="26"/>
      <c r="N26" s="26"/>
      <c r="O26" s="26"/>
    </row>
    <row r="27" spans="2:15" s="30" customFormat="1" ht="26.25" customHeight="1">
      <c r="B27" s="84"/>
      <c r="C27" s="33" t="s">
        <v>333</v>
      </c>
      <c r="D27" s="32"/>
      <c r="E27" s="32"/>
      <c r="F27" s="26"/>
      <c r="G27" s="32"/>
      <c r="I27" s="33"/>
      <c r="L27" s="26"/>
      <c r="M27" s="26"/>
      <c r="N27" s="26"/>
      <c r="O27" s="26"/>
    </row>
    <row r="28" spans="2:15" s="30" customFormat="1" ht="26.25" customHeight="1">
      <c r="B28" s="84"/>
      <c r="C28" s="8" t="s">
        <v>275</v>
      </c>
      <c r="D28" s="32"/>
      <c r="E28" s="32"/>
      <c r="F28" s="26"/>
      <c r="G28" s="32"/>
      <c r="I28" s="33"/>
      <c r="L28" s="26"/>
      <c r="M28" s="26"/>
      <c r="N28" s="26"/>
      <c r="O28" s="26"/>
    </row>
    <row r="29" spans="2:15" s="30" customFormat="1" ht="26.25" customHeight="1">
      <c r="B29" s="84"/>
      <c r="C29" s="8" t="s">
        <v>74</v>
      </c>
      <c r="D29" s="32"/>
      <c r="E29" s="32"/>
      <c r="F29" s="26"/>
      <c r="G29" s="32"/>
      <c r="I29" s="33"/>
      <c r="L29" s="26"/>
      <c r="M29" s="26"/>
      <c r="N29" s="26"/>
      <c r="O29" s="26"/>
    </row>
    <row r="30" spans="2:15" s="30" customFormat="1" ht="26.25" customHeight="1">
      <c r="B30" s="84"/>
      <c r="C30" s="8" t="s">
        <v>76</v>
      </c>
      <c r="D30" s="32"/>
      <c r="E30" s="32"/>
      <c r="F30" s="26"/>
      <c r="G30" s="32"/>
      <c r="I30" s="33"/>
      <c r="L30" s="26"/>
      <c r="M30" s="26"/>
      <c r="N30" s="26"/>
      <c r="O30" s="26"/>
    </row>
    <row r="31" spans="2:15" s="30" customFormat="1" ht="26.25" customHeight="1">
      <c r="B31" s="84"/>
      <c r="C31" s="8"/>
      <c r="D31" s="32"/>
      <c r="E31" s="32"/>
      <c r="F31" s="26"/>
      <c r="G31" s="32"/>
      <c r="I31" s="33"/>
      <c r="L31" s="26"/>
      <c r="M31" s="26"/>
      <c r="N31" s="26"/>
      <c r="O31" s="26"/>
    </row>
    <row r="32" spans="2:15" ht="26.25" customHeight="1">
      <c r="B32" s="84"/>
      <c r="K32" s="26"/>
    </row>
    <row r="33" spans="2:11" ht="26.25" customHeight="1">
      <c r="B33" s="84" t="s">
        <v>379</v>
      </c>
      <c r="C33" s="84"/>
    </row>
    <row r="34" spans="2:11" ht="26.25" customHeight="1">
      <c r="C34" s="84"/>
    </row>
    <row r="35" spans="2:11" ht="26.25" customHeight="1">
      <c r="B35" s="84"/>
      <c r="C35" s="26" t="s">
        <v>358</v>
      </c>
      <c r="D35" s="30" t="s">
        <v>356</v>
      </c>
      <c r="E35" s="26" t="s">
        <v>357</v>
      </c>
      <c r="K35" s="26"/>
    </row>
    <row r="37" spans="2:11" ht="26.25" customHeight="1">
      <c r="C37" s="84"/>
    </row>
    <row r="38" spans="2:11" ht="26.25" customHeight="1">
      <c r="B38" s="84" t="s">
        <v>375</v>
      </c>
      <c r="C38" s="84"/>
    </row>
    <row r="40" spans="2:11" ht="26.25" customHeight="1">
      <c r="C40" s="26" t="s">
        <v>373</v>
      </c>
    </row>
    <row r="41" spans="2:11" ht="26.25" customHeight="1">
      <c r="B41" s="84"/>
      <c r="C41" s="26" t="s">
        <v>374</v>
      </c>
      <c r="K41" s="26"/>
    </row>
    <row r="42" spans="2:11" ht="26.25" customHeight="1">
      <c r="B42" s="84"/>
      <c r="K42" s="26"/>
    </row>
    <row r="43" spans="2:11" ht="26.25" customHeight="1">
      <c r="B43" s="84"/>
      <c r="K43" s="26"/>
    </row>
    <row r="44" spans="2:11" ht="26.25" customHeight="1">
      <c r="B44" s="84" t="s">
        <v>384</v>
      </c>
      <c r="K44" s="26"/>
    </row>
    <row r="45" spans="2:11" ht="26.25" customHeight="1">
      <c r="B45" s="84"/>
      <c r="K45" s="26"/>
    </row>
    <row r="46" spans="2:11" ht="26.25" customHeight="1">
      <c r="B46" s="84"/>
      <c r="C46" s="26" t="s">
        <v>178</v>
      </c>
      <c r="K46" s="26"/>
    </row>
    <row r="47" spans="2:11" ht="26.25" customHeight="1">
      <c r="B47" s="33"/>
      <c r="H47" s="161" t="s">
        <v>344</v>
      </c>
    </row>
  </sheetData>
  <sortState xmlns:xlrd2="http://schemas.microsoft.com/office/spreadsheetml/2017/richdata2" ref="C26:C30">
    <sortCondition ref="C25:C30"/>
  </sortState>
  <pageMargins left="0.70866141732283472" right="0.31496062992125984" top="0.55118110236220474" bottom="0.35433070866141736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1D0-D362-2540-B817-CA836ADDD046}">
  <sheetPr>
    <pageSetUpPr fitToPage="1"/>
  </sheetPr>
  <dimension ref="B1:G30"/>
  <sheetViews>
    <sheetView view="pageBreakPreview" zoomScale="125" zoomScaleNormal="125" zoomScaleSheetLayoutView="125" workbookViewId="0">
      <selection activeCell="D11" sqref="D11"/>
    </sheetView>
  </sheetViews>
  <sheetFormatPr baseColWidth="10" defaultColWidth="10.6640625" defaultRowHeight="30" customHeight="1"/>
  <cols>
    <col min="1" max="1" width="20.83203125" style="26" customWidth="1"/>
    <col min="2" max="2" width="60.83203125" style="26" customWidth="1"/>
    <col min="3" max="3" width="20.83203125" style="29" customWidth="1"/>
    <col min="4" max="4" width="20.83203125" style="30" customWidth="1"/>
    <col min="5" max="6" width="25.6640625" style="26" customWidth="1"/>
    <col min="7" max="7" width="25.6640625" style="29" customWidth="1"/>
    <col min="8" max="25" width="25.6640625" style="26" customWidth="1"/>
    <col min="26" max="16384" width="10.6640625" style="26"/>
  </cols>
  <sheetData>
    <row r="1" spans="2:6" ht="30" customHeight="1">
      <c r="B1" s="156"/>
      <c r="D1" s="69" t="s">
        <v>341</v>
      </c>
    </row>
    <row r="3" spans="2:6" ht="30" customHeight="1">
      <c r="B3" s="370" t="s">
        <v>230</v>
      </c>
      <c r="C3" s="370"/>
      <c r="E3" s="30"/>
      <c r="F3" s="30"/>
    </row>
    <row r="4" spans="2:6" ht="30" customHeight="1">
      <c r="B4" s="93" t="s">
        <v>13</v>
      </c>
      <c r="C4" s="70">
        <v>4350</v>
      </c>
      <c r="D4" s="34"/>
      <c r="E4" s="29"/>
      <c r="F4" s="30"/>
    </row>
    <row r="5" spans="2:6" ht="30" customHeight="1">
      <c r="B5" s="93" t="s">
        <v>14</v>
      </c>
      <c r="C5" s="70">
        <v>4750</v>
      </c>
      <c r="D5" s="34"/>
      <c r="E5" s="29"/>
      <c r="F5" s="29"/>
    </row>
    <row r="6" spans="2:6" ht="30" customHeight="1">
      <c r="B6" s="93" t="s">
        <v>15</v>
      </c>
      <c r="C6" s="70">
        <v>4950</v>
      </c>
      <c r="D6" s="34"/>
      <c r="E6" s="29"/>
      <c r="F6" s="29"/>
    </row>
    <row r="7" spans="2:6" ht="30" customHeight="1">
      <c r="B7" s="93" t="s">
        <v>16</v>
      </c>
      <c r="C7" s="70">
        <v>5350</v>
      </c>
      <c r="D7" s="34"/>
      <c r="E7" s="29"/>
      <c r="F7" s="29"/>
    </row>
    <row r="8" spans="2:6" ht="30" customHeight="1">
      <c r="B8" s="93" t="s">
        <v>242</v>
      </c>
      <c r="C8" s="70">
        <v>5550</v>
      </c>
      <c r="D8" s="34"/>
      <c r="E8" s="29"/>
      <c r="F8" s="29"/>
    </row>
    <row r="9" spans="2:6" ht="30" customHeight="1">
      <c r="D9" s="89"/>
    </row>
    <row r="10" spans="2:6" ht="30" customHeight="1">
      <c r="C10" s="26"/>
      <c r="D10" s="89"/>
    </row>
    <row r="11" spans="2:6" ht="30" customHeight="1">
      <c r="B11" s="71" t="s">
        <v>263</v>
      </c>
      <c r="C11" s="70">
        <v>5950</v>
      </c>
      <c r="D11" s="34"/>
    </row>
    <row r="12" spans="2:6" ht="30" customHeight="1">
      <c r="B12" s="93" t="s">
        <v>17</v>
      </c>
      <c r="C12" s="70">
        <v>6450</v>
      </c>
      <c r="D12" s="34"/>
      <c r="E12" s="29"/>
      <c r="F12" s="29"/>
    </row>
    <row r="13" spans="2:6" ht="30" customHeight="1">
      <c r="B13" s="93" t="s">
        <v>18</v>
      </c>
      <c r="C13" s="70">
        <v>6950</v>
      </c>
      <c r="D13" s="34"/>
      <c r="E13" s="29"/>
      <c r="F13" s="29"/>
    </row>
    <row r="14" spans="2:6" ht="30" customHeight="1">
      <c r="B14" s="33"/>
      <c r="C14" s="90"/>
      <c r="D14" s="91"/>
    </row>
    <row r="16" spans="2:6" ht="30" customHeight="1">
      <c r="B16" s="371" t="s">
        <v>231</v>
      </c>
      <c r="C16" s="372"/>
    </row>
    <row r="17" spans="2:4" ht="30" customHeight="1">
      <c r="B17" s="92" t="s">
        <v>232</v>
      </c>
      <c r="C17" s="70">
        <v>0</v>
      </c>
    </row>
    <row r="18" spans="2:4" ht="30" customHeight="1">
      <c r="B18" s="71" t="s">
        <v>233</v>
      </c>
      <c r="C18" s="70">
        <v>1000</v>
      </c>
    </row>
    <row r="19" spans="2:4" ht="30" customHeight="1">
      <c r="B19" s="71" t="s">
        <v>234</v>
      </c>
      <c r="C19" s="70">
        <v>1500</v>
      </c>
    </row>
    <row r="20" spans="2:4" ht="30" customHeight="1">
      <c r="B20" s="71" t="s">
        <v>235</v>
      </c>
      <c r="C20" s="70">
        <v>3000</v>
      </c>
      <c r="D20" s="77"/>
    </row>
    <row r="21" spans="2:4" ht="30" customHeight="1">
      <c r="B21" s="71" t="s">
        <v>236</v>
      </c>
      <c r="C21" s="70">
        <v>500</v>
      </c>
    </row>
    <row r="22" spans="2:4" ht="30" customHeight="1">
      <c r="B22" s="71" t="s">
        <v>237</v>
      </c>
      <c r="C22" s="70">
        <v>3000</v>
      </c>
    </row>
    <row r="23" spans="2:4" ht="30" customHeight="1">
      <c r="B23" s="71" t="s">
        <v>238</v>
      </c>
      <c r="C23" s="70">
        <v>7000</v>
      </c>
    </row>
    <row r="28" spans="2:4" ht="30" customHeight="1">
      <c r="B28" s="85"/>
    </row>
    <row r="30" spans="2:4" ht="30" customHeight="1">
      <c r="B30" s="85"/>
    </row>
  </sheetData>
  <mergeCells count="2">
    <mergeCell ref="B3:C3"/>
    <mergeCell ref="B16:C16"/>
  </mergeCells>
  <phoneticPr fontId="1" type="noConversion"/>
  <pageMargins left="0.7" right="0.7" top="0.75" bottom="0.75" header="0.3" footer="0.3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BC4A-2D9E-5A4F-A5BE-48CB342EA859}">
  <sheetPr>
    <pageSetUpPr fitToPage="1"/>
  </sheetPr>
  <dimension ref="A1:M44"/>
  <sheetViews>
    <sheetView view="pageBreakPreview" zoomScale="125" zoomScaleNormal="125" zoomScaleSheetLayoutView="125" workbookViewId="0">
      <selection activeCell="C20" sqref="C20"/>
    </sheetView>
  </sheetViews>
  <sheetFormatPr baseColWidth="10" defaultColWidth="9.1640625" defaultRowHeight="26.25" customHeight="1"/>
  <cols>
    <col min="1" max="1" width="1.6640625" style="1" customWidth="1"/>
    <col min="2" max="4" width="40.83203125" style="1" customWidth="1"/>
    <col min="5" max="5" width="1.6640625" style="7" customWidth="1"/>
    <col min="6" max="9" width="25.6640625" style="7" customWidth="1"/>
    <col min="10" max="14" width="25.6640625" style="1" customWidth="1"/>
    <col min="15" max="16384" width="9.1640625" style="1"/>
  </cols>
  <sheetData>
    <row r="1" spans="1:13" ht="26.25" customHeight="1">
      <c r="B1" s="27" t="s">
        <v>380</v>
      </c>
    </row>
    <row r="2" spans="1:13" ht="26.25" customHeight="1" thickBot="1">
      <c r="B2" s="116"/>
      <c r="C2" s="116"/>
      <c r="D2" s="116"/>
    </row>
    <row r="3" spans="1:13" ht="26.25" customHeight="1" thickBot="1">
      <c r="B3" s="213" t="s">
        <v>13</v>
      </c>
      <c r="C3" s="214"/>
      <c r="D3" s="215"/>
    </row>
    <row r="4" spans="1:13" ht="26.25" customHeight="1" thickBot="1">
      <c r="B4" s="117" t="s">
        <v>26</v>
      </c>
      <c r="C4" s="118" t="s">
        <v>28</v>
      </c>
      <c r="D4" s="119" t="s">
        <v>40</v>
      </c>
      <c r="F4" s="12"/>
    </row>
    <row r="5" spans="1:13" ht="26.25" customHeight="1" thickBot="1">
      <c r="B5" s="116"/>
      <c r="C5" s="116"/>
      <c r="D5" s="116"/>
    </row>
    <row r="6" spans="1:13" s="7" customFormat="1" ht="26.25" customHeight="1" thickBot="1">
      <c r="A6" s="1"/>
      <c r="B6" s="210" t="s">
        <v>14</v>
      </c>
      <c r="C6" s="211"/>
      <c r="D6" s="212"/>
      <c r="J6" s="1"/>
      <c r="K6" s="1"/>
      <c r="L6" s="1"/>
      <c r="M6" s="1"/>
    </row>
    <row r="7" spans="1:13" s="7" customFormat="1" ht="26.25" customHeight="1">
      <c r="A7" s="1"/>
      <c r="B7" s="120" t="s">
        <v>338</v>
      </c>
      <c r="C7" s="121" t="s">
        <v>33</v>
      </c>
      <c r="D7" s="122" t="s">
        <v>47</v>
      </c>
      <c r="J7" s="1"/>
      <c r="K7" s="1"/>
      <c r="L7" s="1"/>
      <c r="M7" s="1"/>
    </row>
    <row r="8" spans="1:13" s="7" customFormat="1" ht="26.25" customHeight="1">
      <c r="A8" s="1"/>
      <c r="B8" s="123" t="s">
        <v>339</v>
      </c>
      <c r="C8" s="124" t="s">
        <v>36</v>
      </c>
      <c r="D8" s="125" t="s">
        <v>49</v>
      </c>
      <c r="J8" s="1"/>
      <c r="K8" s="1"/>
      <c r="L8" s="1"/>
      <c r="M8" s="1"/>
    </row>
    <row r="9" spans="1:13" s="7" customFormat="1" ht="26.25" customHeight="1" thickBot="1">
      <c r="A9" s="1"/>
      <c r="B9" s="126" t="s">
        <v>340</v>
      </c>
      <c r="C9" s="127" t="s">
        <v>46</v>
      </c>
      <c r="D9" s="128" t="s">
        <v>50</v>
      </c>
      <c r="J9" s="1"/>
      <c r="K9" s="1"/>
      <c r="L9" s="1"/>
      <c r="M9" s="1"/>
    </row>
    <row r="10" spans="1:13" ht="26.25" customHeight="1" thickBot="1">
      <c r="B10" s="116"/>
      <c r="C10" s="116"/>
      <c r="D10" s="116"/>
    </row>
    <row r="11" spans="1:13" s="7" customFormat="1" ht="26.25" customHeight="1" thickBot="1">
      <c r="A11" s="1"/>
      <c r="B11" s="210" t="s">
        <v>15</v>
      </c>
      <c r="C11" s="211"/>
      <c r="D11" s="212"/>
      <c r="J11" s="1"/>
      <c r="K11" s="1"/>
      <c r="L11" s="1"/>
      <c r="M11" s="1"/>
    </row>
    <row r="12" spans="1:13" s="7" customFormat="1" ht="26.25" customHeight="1">
      <c r="A12" s="1"/>
      <c r="B12" s="120" t="s">
        <v>51</v>
      </c>
      <c r="C12" s="121" t="s">
        <v>37</v>
      </c>
      <c r="D12" s="122" t="s">
        <v>268</v>
      </c>
      <c r="J12" s="1"/>
      <c r="K12" s="1"/>
      <c r="L12" s="1"/>
      <c r="M12" s="1"/>
    </row>
    <row r="13" spans="1:13" s="7" customFormat="1" ht="26.25" customHeight="1">
      <c r="A13" s="1"/>
      <c r="B13" s="129" t="s">
        <v>27</v>
      </c>
      <c r="C13" s="130" t="s">
        <v>38</v>
      </c>
      <c r="D13" s="131" t="s">
        <v>270</v>
      </c>
      <c r="J13" s="1"/>
      <c r="K13" s="1"/>
      <c r="L13" s="1"/>
      <c r="M13" s="1"/>
    </row>
    <row r="14" spans="1:13" s="7" customFormat="1" ht="26.25" customHeight="1">
      <c r="A14" s="1"/>
      <c r="B14" s="129" t="s">
        <v>266</v>
      </c>
      <c r="C14" s="130" t="s">
        <v>39</v>
      </c>
      <c r="D14" s="131" t="s">
        <v>269</v>
      </c>
      <c r="J14" s="1"/>
      <c r="K14" s="1"/>
      <c r="L14" s="1"/>
      <c r="M14" s="1"/>
    </row>
    <row r="15" spans="1:13" s="7" customFormat="1" ht="26.25" customHeight="1">
      <c r="A15" s="1"/>
      <c r="B15" s="129" t="s">
        <v>29</v>
      </c>
      <c r="C15" s="130" t="s">
        <v>41</v>
      </c>
      <c r="D15" s="131" t="s">
        <v>298</v>
      </c>
      <c r="J15" s="1"/>
      <c r="K15" s="1"/>
      <c r="L15" s="1"/>
      <c r="M15" s="1"/>
    </row>
    <row r="16" spans="1:13" s="7" customFormat="1" ht="26.25" customHeight="1">
      <c r="A16" s="1"/>
      <c r="B16" s="129" t="s">
        <v>267</v>
      </c>
      <c r="C16" s="130" t="s">
        <v>42</v>
      </c>
      <c r="D16" s="131" t="s">
        <v>303</v>
      </c>
      <c r="J16" s="1"/>
      <c r="K16" s="1"/>
      <c r="L16" s="1"/>
      <c r="M16" s="1"/>
    </row>
    <row r="17" spans="1:13" s="7" customFormat="1" ht="26.25" customHeight="1">
      <c r="A17" s="1"/>
      <c r="B17" s="132" t="s">
        <v>30</v>
      </c>
      <c r="C17" s="133" t="s">
        <v>43</v>
      </c>
      <c r="D17" s="134" t="s">
        <v>299</v>
      </c>
      <c r="J17" s="1"/>
      <c r="K17" s="1"/>
      <c r="L17" s="1"/>
      <c r="M17" s="1"/>
    </row>
    <row r="18" spans="1:13" s="7" customFormat="1" ht="26.25" customHeight="1">
      <c r="A18" s="1"/>
      <c r="B18" s="132" t="s">
        <v>31</v>
      </c>
      <c r="C18" s="135" t="s">
        <v>44</v>
      </c>
      <c r="D18" s="134" t="s">
        <v>304</v>
      </c>
      <c r="J18" s="1"/>
      <c r="K18" s="1"/>
      <c r="L18" s="1"/>
      <c r="M18" s="1"/>
    </row>
    <row r="19" spans="1:13" s="7" customFormat="1" ht="26.25" customHeight="1">
      <c r="A19" s="1"/>
      <c r="B19" s="129" t="s">
        <v>32</v>
      </c>
      <c r="C19" s="130" t="s">
        <v>45</v>
      </c>
      <c r="D19" s="131" t="s">
        <v>305</v>
      </c>
      <c r="J19" s="1"/>
      <c r="K19" s="1"/>
      <c r="L19" s="1"/>
      <c r="M19" s="1"/>
    </row>
    <row r="20" spans="1:13" s="7" customFormat="1" ht="26.25" customHeight="1">
      <c r="A20" s="1"/>
      <c r="B20" s="129" t="s">
        <v>34</v>
      </c>
      <c r="C20" s="136" t="s">
        <v>53</v>
      </c>
      <c r="D20" s="131" t="s">
        <v>306</v>
      </c>
      <c r="J20" s="1"/>
      <c r="K20" s="1"/>
      <c r="L20" s="1"/>
      <c r="M20" s="1"/>
    </row>
    <row r="21" spans="1:13" s="7" customFormat="1" ht="26.25" customHeight="1" thickBot="1">
      <c r="A21" s="1"/>
      <c r="B21" s="137" t="s">
        <v>35</v>
      </c>
      <c r="C21" s="113" t="s">
        <v>55</v>
      </c>
      <c r="D21" s="138" t="s">
        <v>48</v>
      </c>
      <c r="J21" s="1"/>
      <c r="K21" s="1"/>
      <c r="L21" s="1"/>
      <c r="M21" s="1"/>
    </row>
    <row r="22" spans="1:13" ht="26.25" customHeight="1" thickBot="1">
      <c r="B22" s="116"/>
      <c r="C22" s="116"/>
      <c r="D22" s="116"/>
    </row>
    <row r="23" spans="1:13" s="7" customFormat="1" ht="26.25" customHeight="1" thickBot="1">
      <c r="A23" s="1"/>
      <c r="B23" s="204" t="s">
        <v>251</v>
      </c>
      <c r="C23" s="205"/>
      <c r="D23" s="206"/>
      <c r="J23" s="1"/>
      <c r="K23" s="1"/>
      <c r="L23" s="1"/>
      <c r="M23" s="1"/>
    </row>
    <row r="24" spans="1:13" s="7" customFormat="1" ht="26.25" customHeight="1">
      <c r="A24" s="1"/>
      <c r="B24" s="139" t="s">
        <v>57</v>
      </c>
      <c r="C24" s="140" t="s">
        <v>265</v>
      </c>
      <c r="D24" s="122" t="s">
        <v>291</v>
      </c>
      <c r="J24" s="1"/>
      <c r="K24" s="1"/>
      <c r="L24" s="1"/>
      <c r="M24" s="1"/>
    </row>
    <row r="25" spans="1:13" s="7" customFormat="1" ht="26.25" customHeight="1">
      <c r="A25" s="1"/>
      <c r="B25" s="150" t="s">
        <v>59</v>
      </c>
      <c r="C25" s="151" t="s">
        <v>54</v>
      </c>
      <c r="D25" s="125" t="s">
        <v>272</v>
      </c>
      <c r="J25" s="1"/>
      <c r="K25" s="1"/>
      <c r="L25" s="1"/>
      <c r="M25" s="1"/>
    </row>
    <row r="26" spans="1:13" s="7" customFormat="1" ht="26.25" customHeight="1">
      <c r="A26" s="1"/>
      <c r="B26" s="150" t="s">
        <v>60</v>
      </c>
      <c r="C26" s="151" t="s">
        <v>56</v>
      </c>
      <c r="D26" s="125" t="s">
        <v>273</v>
      </c>
      <c r="J26" s="1"/>
      <c r="K26" s="1"/>
      <c r="L26" s="1"/>
      <c r="M26" s="1"/>
    </row>
    <row r="27" spans="1:13" s="7" customFormat="1" ht="26.25" customHeight="1">
      <c r="A27" s="1"/>
      <c r="B27" s="150" t="s">
        <v>61</v>
      </c>
      <c r="C27" s="151" t="s">
        <v>58</v>
      </c>
      <c r="D27" s="125" t="s">
        <v>290</v>
      </c>
      <c r="J27" s="1"/>
      <c r="K27" s="1"/>
      <c r="L27" s="1"/>
      <c r="M27" s="1"/>
    </row>
    <row r="28" spans="1:13" s="7" customFormat="1" ht="26.25" customHeight="1">
      <c r="A28" s="1"/>
      <c r="B28" s="150" t="s">
        <v>62</v>
      </c>
      <c r="C28" s="124" t="s">
        <v>329</v>
      </c>
      <c r="D28" s="125" t="s">
        <v>274</v>
      </c>
      <c r="J28" s="1"/>
      <c r="K28" s="1"/>
      <c r="L28" s="1"/>
      <c r="M28" s="1"/>
    </row>
    <row r="29" spans="1:13" s="7" customFormat="1" ht="26.25" customHeight="1">
      <c r="A29" s="1"/>
      <c r="B29" s="141" t="s">
        <v>63</v>
      </c>
      <c r="C29" s="130" t="s">
        <v>330</v>
      </c>
      <c r="D29" s="131" t="s">
        <v>289</v>
      </c>
      <c r="J29" s="1"/>
      <c r="K29" s="1"/>
      <c r="L29" s="1"/>
      <c r="M29" s="1"/>
    </row>
    <row r="30" spans="1:13" s="7" customFormat="1" ht="26.25" customHeight="1" thickBot="1">
      <c r="A30" s="1"/>
      <c r="B30" s="137" t="s">
        <v>52</v>
      </c>
      <c r="C30" s="113"/>
      <c r="D30" s="138" t="s">
        <v>288</v>
      </c>
      <c r="J30" s="1"/>
      <c r="K30" s="1"/>
      <c r="L30" s="1"/>
      <c r="M30" s="1"/>
    </row>
    <row r="31" spans="1:13" s="7" customFormat="1" ht="26.25" customHeight="1" thickBot="1">
      <c r="A31" s="1"/>
      <c r="B31" s="116"/>
      <c r="C31" s="116"/>
      <c r="D31" s="116"/>
      <c r="J31" s="1"/>
      <c r="K31" s="1"/>
      <c r="L31" s="1"/>
      <c r="M31" s="1"/>
    </row>
    <row r="32" spans="1:13" s="7" customFormat="1" ht="26.25" customHeight="1" thickBot="1">
      <c r="A32" s="1"/>
      <c r="B32" s="204" t="s">
        <v>328</v>
      </c>
      <c r="C32" s="205"/>
      <c r="D32" s="206"/>
      <c r="J32" s="1"/>
      <c r="K32" s="1"/>
      <c r="L32" s="1"/>
      <c r="M32" s="1"/>
    </row>
    <row r="33" spans="1:13" s="7" customFormat="1" ht="26.25" customHeight="1" thickBot="1">
      <c r="A33" s="1"/>
      <c r="B33" s="142" t="s">
        <v>64</v>
      </c>
      <c r="C33" s="143" t="s">
        <v>65</v>
      </c>
      <c r="D33" s="144"/>
      <c r="J33" s="1"/>
      <c r="K33" s="1"/>
      <c r="L33" s="1"/>
      <c r="M33" s="1"/>
    </row>
    <row r="34" spans="1:13" ht="26.25" customHeight="1" thickBot="1">
      <c r="B34" s="116"/>
      <c r="C34" s="116"/>
      <c r="D34" s="116"/>
    </row>
    <row r="35" spans="1:13" s="7" customFormat="1" ht="26.25" customHeight="1" thickBot="1">
      <c r="A35" s="1"/>
      <c r="B35" s="207" t="s">
        <v>242</v>
      </c>
      <c r="C35" s="208"/>
      <c r="D35" s="209"/>
      <c r="J35" s="1"/>
      <c r="K35" s="1"/>
      <c r="L35" s="1"/>
      <c r="M35" s="1"/>
    </row>
    <row r="36" spans="1:13" s="7" customFormat="1" ht="26.25" customHeight="1">
      <c r="A36" s="1"/>
      <c r="B36" s="154" t="s">
        <v>243</v>
      </c>
      <c r="C36" s="140" t="s">
        <v>247</v>
      </c>
      <c r="D36" s="145" t="s">
        <v>255</v>
      </c>
      <c r="J36" s="1"/>
      <c r="K36" s="1"/>
      <c r="L36" s="1"/>
      <c r="M36" s="1"/>
    </row>
    <row r="37" spans="1:13" s="7" customFormat="1" ht="26.25" customHeight="1">
      <c r="A37" s="1"/>
      <c r="B37" s="153" t="s">
        <v>307</v>
      </c>
      <c r="C37" s="136" t="s">
        <v>248</v>
      </c>
      <c r="D37" s="146" t="s">
        <v>261</v>
      </c>
      <c r="J37" s="1"/>
      <c r="K37" s="1"/>
      <c r="L37" s="1"/>
      <c r="M37" s="1"/>
    </row>
    <row r="38" spans="1:13" s="7" customFormat="1" ht="26.25" customHeight="1">
      <c r="A38" s="1"/>
      <c r="B38" s="153" t="s">
        <v>245</v>
      </c>
      <c r="C38" s="136" t="s">
        <v>258</v>
      </c>
      <c r="D38" s="146" t="s">
        <v>308</v>
      </c>
      <c r="J38" s="1"/>
      <c r="K38" s="1"/>
      <c r="L38" s="1"/>
      <c r="M38" s="1"/>
    </row>
    <row r="39" spans="1:13" s="7" customFormat="1" ht="26.25" customHeight="1">
      <c r="A39" s="1"/>
      <c r="B39" s="153" t="s">
        <v>246</v>
      </c>
      <c r="C39" s="136" t="s">
        <v>259</v>
      </c>
      <c r="D39" s="146" t="s">
        <v>252</v>
      </c>
      <c r="J39" s="1"/>
      <c r="K39" s="1"/>
      <c r="L39" s="1"/>
      <c r="M39" s="1"/>
    </row>
    <row r="40" spans="1:13" s="7" customFormat="1" ht="26.25" customHeight="1">
      <c r="A40" s="1"/>
      <c r="B40" s="153" t="s">
        <v>253</v>
      </c>
      <c r="C40" s="136" t="s">
        <v>260</v>
      </c>
      <c r="D40" s="146" t="s">
        <v>256</v>
      </c>
      <c r="J40" s="1"/>
      <c r="K40" s="1"/>
      <c r="L40" s="1"/>
      <c r="M40" s="1"/>
    </row>
    <row r="41" spans="1:13" s="7" customFormat="1" ht="26.25" customHeight="1">
      <c r="A41" s="1"/>
      <c r="B41" s="153" t="s">
        <v>257</v>
      </c>
      <c r="C41" s="136" t="s">
        <v>326</v>
      </c>
      <c r="D41" s="97"/>
      <c r="J41" s="1"/>
      <c r="K41" s="1"/>
      <c r="L41" s="1"/>
      <c r="M41" s="1"/>
    </row>
    <row r="42" spans="1:13" s="7" customFormat="1" ht="26.25" customHeight="1" thickBot="1">
      <c r="A42" s="1"/>
      <c r="B42" s="155" t="s">
        <v>254</v>
      </c>
      <c r="C42" s="113" t="s">
        <v>244</v>
      </c>
      <c r="D42" s="99"/>
      <c r="J42" s="1"/>
      <c r="K42" s="1"/>
      <c r="L42" s="1"/>
      <c r="M42" s="1"/>
    </row>
    <row r="43" spans="1:13" ht="26.25" customHeight="1">
      <c r="B43" s="8"/>
    </row>
    <row r="44" spans="1:13" ht="26.25" customHeight="1">
      <c r="B44" s="8" t="s">
        <v>67</v>
      </c>
      <c r="E44" s="149" t="s">
        <v>366</v>
      </c>
    </row>
  </sheetData>
  <sortState xmlns:xlrd2="http://schemas.microsoft.com/office/spreadsheetml/2017/richdata2" ref="C25:C30">
    <sortCondition ref="C24:C30"/>
  </sortState>
  <mergeCells count="6">
    <mergeCell ref="B23:D23"/>
    <mergeCell ref="B35:D35"/>
    <mergeCell ref="B6:D6"/>
    <mergeCell ref="B3:D3"/>
    <mergeCell ref="B11:D11"/>
    <mergeCell ref="B32:D32"/>
  </mergeCells>
  <phoneticPr fontId="1" type="noConversion"/>
  <pageMargins left="0.70866141732283505" right="0.31496062992126" top="0.55118110200000003" bottom="0.35433070866141703" header="6.4960630000000005E-2" footer="0.31496062992126"/>
  <pageSetup paperSize="9" scale="6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E2A3-5D92-E64E-8E11-161FA170E2F4}">
  <dimension ref="A1:K44"/>
  <sheetViews>
    <sheetView tabSelected="1" view="pageBreakPreview" topLeftCell="B5" zoomScale="125" zoomScaleNormal="150" zoomScaleSheetLayoutView="125" workbookViewId="0">
      <selection activeCell="C30" sqref="C30"/>
    </sheetView>
  </sheetViews>
  <sheetFormatPr baseColWidth="10" defaultColWidth="9.1640625" defaultRowHeight="26.25" customHeight="1"/>
  <cols>
    <col min="1" max="1" width="1.6640625" style="31" customWidth="1"/>
    <col min="2" max="4" width="40.83203125" style="31" customWidth="1"/>
    <col min="5" max="5" width="1.6640625" style="30" customWidth="1"/>
    <col min="6" max="7" width="25.6640625" style="30" customWidth="1"/>
    <col min="8" max="12" width="25.6640625" style="31" customWidth="1"/>
    <col min="13" max="16384" width="9.1640625" style="31"/>
  </cols>
  <sheetData>
    <row r="1" spans="1:11" s="30" customFormat="1" ht="26.25" customHeight="1">
      <c r="A1" s="26"/>
      <c r="B1" s="27" t="s">
        <v>381</v>
      </c>
      <c r="C1" s="28"/>
      <c r="D1" s="29"/>
      <c r="H1" s="26"/>
      <c r="I1" s="26"/>
      <c r="J1" s="26"/>
      <c r="K1" s="26"/>
    </row>
    <row r="2" spans="1:11" s="30" customFormat="1" ht="26.25" customHeight="1" thickBot="1">
      <c r="A2" s="26"/>
      <c r="B2" s="27"/>
      <c r="C2" s="28"/>
      <c r="D2" s="29"/>
      <c r="H2" s="26"/>
      <c r="I2" s="26"/>
      <c r="J2" s="26"/>
      <c r="K2" s="26"/>
    </row>
    <row r="3" spans="1:11" s="30" customFormat="1" ht="26.25" customHeight="1" thickBot="1">
      <c r="A3" s="31"/>
      <c r="B3" s="216" t="s">
        <v>263</v>
      </c>
      <c r="C3" s="217"/>
      <c r="D3" s="218"/>
      <c r="H3" s="31"/>
      <c r="I3" s="31"/>
      <c r="J3" s="31"/>
      <c r="K3" s="31"/>
    </row>
    <row r="4" spans="1:11" s="30" customFormat="1" ht="26.25" customHeight="1">
      <c r="A4" s="31"/>
      <c r="B4" s="172" t="s">
        <v>362</v>
      </c>
      <c r="C4" s="121" t="s">
        <v>277</v>
      </c>
      <c r="D4" s="122" t="s">
        <v>284</v>
      </c>
      <c r="H4" s="31"/>
      <c r="I4" s="31"/>
      <c r="J4" s="31"/>
      <c r="K4" s="31"/>
    </row>
    <row r="5" spans="1:11" s="30" customFormat="1" ht="26.25" customHeight="1">
      <c r="A5" s="31"/>
      <c r="B5" s="162" t="s">
        <v>337</v>
      </c>
      <c r="C5" s="165" t="s">
        <v>348</v>
      </c>
      <c r="D5" s="131" t="s">
        <v>279</v>
      </c>
      <c r="H5" s="31"/>
      <c r="I5" s="31"/>
      <c r="J5" s="31"/>
      <c r="K5" s="31"/>
    </row>
    <row r="6" spans="1:11" s="30" customFormat="1" ht="26.25" customHeight="1">
      <c r="A6" s="31"/>
      <c r="B6" s="171" t="s">
        <v>311</v>
      </c>
      <c r="C6" s="168" t="s">
        <v>292</v>
      </c>
      <c r="D6" s="131" t="s">
        <v>281</v>
      </c>
      <c r="H6" s="31"/>
      <c r="I6" s="31"/>
      <c r="J6" s="31"/>
      <c r="K6" s="31"/>
    </row>
    <row r="7" spans="1:11" s="30" customFormat="1" ht="26.25" customHeight="1">
      <c r="A7" s="31"/>
      <c r="B7" s="171" t="s">
        <v>293</v>
      </c>
      <c r="C7" s="166" t="s">
        <v>315</v>
      </c>
      <c r="D7" s="131" t="s">
        <v>310</v>
      </c>
      <c r="H7" s="31"/>
      <c r="I7" s="31"/>
      <c r="J7" s="31"/>
      <c r="K7" s="31"/>
    </row>
    <row r="8" spans="1:11" s="30" customFormat="1" ht="26.25" customHeight="1">
      <c r="A8" s="31"/>
      <c r="B8" s="162" t="s">
        <v>313</v>
      </c>
      <c r="C8" s="165" t="s">
        <v>347</v>
      </c>
      <c r="D8" s="131" t="s">
        <v>282</v>
      </c>
      <c r="H8" s="31"/>
      <c r="I8" s="31"/>
      <c r="J8" s="31"/>
      <c r="K8" s="31"/>
    </row>
    <row r="9" spans="1:11" s="30" customFormat="1" ht="26.25" customHeight="1">
      <c r="A9" s="31"/>
      <c r="B9" s="162" t="s">
        <v>312</v>
      </c>
      <c r="C9" s="163" t="s">
        <v>280</v>
      </c>
      <c r="D9" s="131" t="s">
        <v>278</v>
      </c>
      <c r="H9" s="31"/>
      <c r="I9" s="31"/>
      <c r="J9" s="31"/>
      <c r="K9" s="31"/>
    </row>
    <row r="10" spans="1:11" s="30" customFormat="1" ht="26.25" customHeight="1">
      <c r="A10" s="31"/>
      <c r="B10" s="179" t="s">
        <v>346</v>
      </c>
      <c r="C10" s="130" t="s">
        <v>287</v>
      </c>
      <c r="D10" s="131" t="s">
        <v>309</v>
      </c>
      <c r="H10" s="31"/>
      <c r="I10" s="31"/>
      <c r="J10" s="31"/>
      <c r="K10" s="31"/>
    </row>
    <row r="11" spans="1:11" s="30" customFormat="1" ht="26.25" customHeight="1">
      <c r="A11" s="31"/>
      <c r="B11" s="162" t="s">
        <v>314</v>
      </c>
      <c r="C11" s="163" t="s">
        <v>283</v>
      </c>
      <c r="D11" s="181" t="s">
        <v>349</v>
      </c>
      <c r="H11" s="31"/>
      <c r="I11" s="31"/>
      <c r="J11" s="31"/>
      <c r="K11" s="31"/>
    </row>
    <row r="12" spans="1:11" s="30" customFormat="1" ht="26.25" customHeight="1" thickBot="1">
      <c r="A12" s="31"/>
      <c r="B12" s="170" t="s">
        <v>276</v>
      </c>
      <c r="C12" s="180" t="s">
        <v>382</v>
      </c>
      <c r="D12" s="138" t="s">
        <v>316</v>
      </c>
      <c r="H12" s="31"/>
      <c r="I12" s="31"/>
      <c r="J12" s="31"/>
      <c r="K12" s="31"/>
    </row>
    <row r="13" spans="1:11" s="30" customFormat="1" ht="26.25" customHeight="1" thickBot="1">
      <c r="A13" s="31"/>
      <c r="B13" s="147"/>
      <c r="C13" s="148"/>
      <c r="D13" s="147"/>
      <c r="H13" s="31"/>
      <c r="I13" s="31"/>
      <c r="J13" s="31"/>
      <c r="K13" s="31"/>
    </row>
    <row r="14" spans="1:11" s="30" customFormat="1" ht="26.25" customHeight="1" thickBot="1">
      <c r="A14" s="31"/>
      <c r="B14" s="216" t="s">
        <v>17</v>
      </c>
      <c r="C14" s="217"/>
      <c r="D14" s="218"/>
      <c r="H14" s="31"/>
      <c r="I14" s="31"/>
      <c r="J14" s="31"/>
      <c r="K14" s="31"/>
    </row>
    <row r="15" spans="1:11" s="30" customFormat="1" ht="26.25" customHeight="1">
      <c r="A15" s="31"/>
      <c r="B15" s="120" t="s">
        <v>317</v>
      </c>
      <c r="C15" s="169" t="s">
        <v>354</v>
      </c>
      <c r="D15" s="122" t="s">
        <v>324</v>
      </c>
      <c r="H15" s="31"/>
      <c r="I15" s="31"/>
      <c r="J15" s="31"/>
      <c r="K15" s="31"/>
    </row>
    <row r="16" spans="1:11" s="30" customFormat="1" ht="26.25" customHeight="1">
      <c r="A16" s="31"/>
      <c r="B16" s="162" t="s">
        <v>322</v>
      </c>
      <c r="C16" s="130" t="s">
        <v>75</v>
      </c>
      <c r="D16" s="182" t="s">
        <v>361</v>
      </c>
      <c r="H16" s="31"/>
      <c r="I16" s="31"/>
      <c r="J16" s="31"/>
      <c r="K16" s="31"/>
    </row>
    <row r="17" spans="1:11" s="30" customFormat="1" ht="26.25" customHeight="1">
      <c r="A17" s="31"/>
      <c r="B17" s="162" t="s">
        <v>321</v>
      </c>
      <c r="C17" s="130" t="s">
        <v>323</v>
      </c>
      <c r="D17" s="134" t="s">
        <v>325</v>
      </c>
      <c r="H17" s="31"/>
      <c r="I17" s="31"/>
      <c r="J17" s="31"/>
      <c r="K17" s="31"/>
    </row>
    <row r="18" spans="1:11" s="30" customFormat="1" ht="26.25" customHeight="1">
      <c r="A18" s="31"/>
      <c r="B18" s="162" t="s">
        <v>319</v>
      </c>
      <c r="C18" s="165" t="s">
        <v>355</v>
      </c>
      <c r="D18" s="134" t="s">
        <v>80</v>
      </c>
      <c r="H18" s="31"/>
      <c r="I18" s="31"/>
      <c r="J18" s="31"/>
      <c r="K18" s="31"/>
    </row>
    <row r="19" spans="1:11" s="30" customFormat="1" ht="26.25" customHeight="1">
      <c r="A19" s="31"/>
      <c r="B19" s="162" t="s">
        <v>318</v>
      </c>
      <c r="C19" s="163" t="s">
        <v>359</v>
      </c>
      <c r="D19" s="134" t="s">
        <v>81</v>
      </c>
      <c r="H19" s="31"/>
      <c r="I19" s="31"/>
      <c r="J19" s="31"/>
      <c r="K19" s="31"/>
    </row>
    <row r="20" spans="1:11" s="30" customFormat="1" ht="26.25" customHeight="1">
      <c r="A20" s="31"/>
      <c r="B20" s="162" t="s">
        <v>320</v>
      </c>
      <c r="C20" s="164" t="s">
        <v>360</v>
      </c>
      <c r="D20" s="134" t="s">
        <v>82</v>
      </c>
      <c r="H20" s="31"/>
      <c r="I20" s="31"/>
      <c r="J20" s="31"/>
      <c r="K20" s="31"/>
    </row>
    <row r="21" spans="1:11" s="30" customFormat="1" ht="26.25" customHeight="1">
      <c r="A21" s="31"/>
      <c r="B21" s="162"/>
      <c r="C21" s="168" t="s">
        <v>77</v>
      </c>
      <c r="D21" s="131" t="s">
        <v>83</v>
      </c>
      <c r="H21" s="31"/>
      <c r="I21" s="31"/>
      <c r="J21" s="31"/>
      <c r="K21" s="31"/>
    </row>
    <row r="22" spans="1:11" s="30" customFormat="1" ht="26.25" customHeight="1">
      <c r="A22" s="31"/>
      <c r="B22" s="162"/>
      <c r="C22" s="166" t="s">
        <v>78</v>
      </c>
      <c r="D22" s="131" t="s">
        <v>84</v>
      </c>
      <c r="H22" s="31"/>
      <c r="I22" s="31"/>
      <c r="J22" s="31"/>
      <c r="K22" s="31"/>
    </row>
    <row r="23" spans="1:11" s="30" customFormat="1" ht="26.25" customHeight="1" thickBot="1">
      <c r="A23" s="31"/>
      <c r="B23" s="126"/>
      <c r="C23" s="167" t="s">
        <v>79</v>
      </c>
      <c r="D23" s="138"/>
      <c r="H23" s="31"/>
      <c r="I23" s="31"/>
      <c r="J23" s="31"/>
      <c r="K23" s="31"/>
    </row>
    <row r="24" spans="1:11" s="30" customFormat="1" ht="26.25" customHeight="1" thickBot="1">
      <c r="A24" s="31"/>
      <c r="B24" s="147"/>
      <c r="C24" s="148"/>
      <c r="D24" s="147"/>
      <c r="H24" s="31"/>
      <c r="I24" s="31"/>
      <c r="J24" s="31"/>
      <c r="K24" s="31"/>
    </row>
    <row r="25" spans="1:11" s="30" customFormat="1" ht="26.25" customHeight="1" thickBot="1">
      <c r="A25" s="31"/>
      <c r="B25" s="216" t="s">
        <v>18</v>
      </c>
      <c r="C25" s="217"/>
      <c r="D25" s="218"/>
      <c r="H25" s="31"/>
      <c r="I25" s="31"/>
      <c r="J25" s="31"/>
      <c r="K25" s="31"/>
    </row>
    <row r="26" spans="1:11" s="30" customFormat="1" ht="26.25" customHeight="1">
      <c r="A26" s="31"/>
      <c r="B26" s="120" t="s">
        <v>295</v>
      </c>
      <c r="C26" s="121" t="s">
        <v>71</v>
      </c>
      <c r="D26" s="122" t="s">
        <v>336</v>
      </c>
      <c r="H26" s="31"/>
      <c r="I26" s="31"/>
      <c r="J26" s="31"/>
      <c r="K26" s="31"/>
    </row>
    <row r="27" spans="1:11" s="30" customFormat="1" ht="26.25" customHeight="1">
      <c r="A27" s="31"/>
      <c r="B27" s="153" t="s">
        <v>296</v>
      </c>
      <c r="C27" s="130" t="s">
        <v>70</v>
      </c>
      <c r="D27" s="131" t="s">
        <v>294</v>
      </c>
      <c r="H27" s="31"/>
      <c r="I27" s="31"/>
      <c r="J27" s="31"/>
      <c r="K27" s="31"/>
    </row>
    <row r="28" spans="1:11" s="30" customFormat="1" ht="26.25" customHeight="1">
      <c r="A28" s="31"/>
      <c r="B28" s="174" t="s">
        <v>297</v>
      </c>
      <c r="C28" s="168" t="s">
        <v>72</v>
      </c>
      <c r="D28" s="131" t="s">
        <v>327</v>
      </c>
      <c r="H28" s="31"/>
      <c r="I28" s="31"/>
      <c r="J28" s="31"/>
      <c r="K28" s="31"/>
    </row>
    <row r="29" spans="1:11" s="30" customFormat="1" ht="26.25" customHeight="1">
      <c r="A29" s="31"/>
      <c r="B29" s="174" t="s">
        <v>69</v>
      </c>
      <c r="C29" s="166" t="s">
        <v>331</v>
      </c>
      <c r="D29" s="131" t="s">
        <v>334</v>
      </c>
      <c r="H29" s="31"/>
      <c r="I29" s="31"/>
      <c r="J29" s="31"/>
      <c r="K29" s="31"/>
    </row>
    <row r="30" spans="1:11" s="30" customFormat="1" ht="26.25" customHeight="1" thickBot="1">
      <c r="A30" s="31"/>
      <c r="B30" s="173"/>
      <c r="C30" s="167" t="s">
        <v>73</v>
      </c>
      <c r="D30" s="138"/>
      <c r="H30" s="31"/>
      <c r="I30" s="31"/>
      <c r="J30" s="31"/>
      <c r="K30" s="31"/>
    </row>
    <row r="31" spans="1:11" ht="26.25" customHeight="1">
      <c r="B31" s="26" t="s">
        <v>66</v>
      </c>
    </row>
    <row r="32" spans="1:11" ht="26.25" customHeight="1">
      <c r="B32" s="26"/>
    </row>
    <row r="33" spans="1:11" ht="26" customHeight="1">
      <c r="B33" s="26"/>
    </row>
    <row r="34" spans="1:11" s="26" customFormat="1" ht="26" customHeight="1">
      <c r="C34" s="40" t="s">
        <v>398</v>
      </c>
      <c r="E34" s="30"/>
      <c r="F34" s="30"/>
      <c r="G34" s="30"/>
    </row>
    <row r="35" spans="1:11" s="26" customFormat="1" ht="26.25" customHeight="1">
      <c r="B35" s="40"/>
      <c r="E35" s="30"/>
      <c r="F35" s="30"/>
      <c r="G35" s="30"/>
    </row>
    <row r="36" spans="1:11" ht="26" customHeight="1">
      <c r="B36" s="26"/>
    </row>
    <row r="37" spans="1:11" s="26" customFormat="1" ht="26" customHeight="1">
      <c r="E37" s="30"/>
      <c r="F37" s="30"/>
      <c r="G37" s="30"/>
    </row>
    <row r="38" spans="1:11" s="26" customFormat="1" ht="26" customHeight="1">
      <c r="E38" s="30"/>
      <c r="F38" s="30"/>
      <c r="G38" s="30"/>
    </row>
    <row r="39" spans="1:11" s="26" customFormat="1" ht="26" customHeight="1">
      <c r="E39" s="30"/>
      <c r="F39" s="30"/>
      <c r="G39" s="30"/>
    </row>
    <row r="40" spans="1:11" s="26" customFormat="1" ht="26" customHeight="1">
      <c r="E40" s="30"/>
      <c r="F40" s="30"/>
      <c r="G40" s="30"/>
    </row>
    <row r="41" spans="1:11" s="26" customFormat="1" ht="26.25" customHeight="1">
      <c r="B41" s="40"/>
      <c r="E41" s="30"/>
      <c r="F41" s="30"/>
      <c r="G41" s="30"/>
    </row>
    <row r="42" spans="1:11" s="30" customFormat="1" ht="26.25" customHeight="1">
      <c r="A42" s="26"/>
      <c r="B42" s="147"/>
      <c r="C42" s="147"/>
      <c r="D42" s="147"/>
      <c r="H42" s="26"/>
      <c r="I42" s="26"/>
      <c r="J42" s="26"/>
      <c r="K42" s="26"/>
    </row>
    <row r="43" spans="1:11" s="26" customFormat="1" ht="26" customHeight="1">
      <c r="E43" s="30"/>
      <c r="F43" s="30"/>
      <c r="G43" s="30"/>
    </row>
    <row r="44" spans="1:11" ht="26" customHeight="1">
      <c r="B44" s="37"/>
      <c r="E44" s="35" t="s">
        <v>68</v>
      </c>
    </row>
  </sheetData>
  <sortState xmlns:xlrd2="http://schemas.microsoft.com/office/spreadsheetml/2017/richdata2" ref="B5:B12">
    <sortCondition ref="B4:B12"/>
  </sortState>
  <mergeCells count="3">
    <mergeCell ref="B14:D14"/>
    <mergeCell ref="B3:D3"/>
    <mergeCell ref="B25:D25"/>
  </mergeCells>
  <pageMargins left="0.70866141732283505" right="0.31496062992126" top="0.55118110200000003" bottom="0.35433070866141703" header="0.31496062992126" footer="0.31496062992126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CA41-CB7C-420D-A555-EA2C1649E492}">
  <sheetPr>
    <pageSetUpPr fitToPage="1"/>
  </sheetPr>
  <dimension ref="A1:P44"/>
  <sheetViews>
    <sheetView view="pageBreakPreview" topLeftCell="B19" zoomScale="125" zoomScaleNormal="150" zoomScaleSheetLayoutView="125" workbookViewId="0">
      <selection activeCell="E40" sqref="E40"/>
    </sheetView>
  </sheetViews>
  <sheetFormatPr baseColWidth="10" defaultColWidth="9.1640625" defaultRowHeight="26.25" customHeight="1"/>
  <cols>
    <col min="1" max="1" width="1.6640625" style="31" customWidth="1"/>
    <col min="2" max="7" width="20.83203125" style="31" customWidth="1"/>
    <col min="8" max="8" width="1.6640625" style="30" customWidth="1"/>
    <col min="9" max="12" width="25.6640625" style="30" customWidth="1"/>
    <col min="13" max="17" width="25.6640625" style="31" customWidth="1"/>
    <col min="18" max="16384" width="9.1640625" style="31"/>
  </cols>
  <sheetData>
    <row r="1" spans="1:16" s="30" customFormat="1" ht="26.25" customHeight="1" thickBot="1">
      <c r="A1" s="26"/>
      <c r="B1" s="27" t="s">
        <v>376</v>
      </c>
      <c r="C1" s="34"/>
      <c r="D1" s="29"/>
      <c r="E1" s="29"/>
      <c r="F1" s="29"/>
      <c r="G1" s="29"/>
      <c r="K1" s="26"/>
      <c r="L1" s="26"/>
      <c r="M1" s="26"/>
      <c r="N1" s="26"/>
    </row>
    <row r="2" spans="1:16" s="30" customFormat="1" ht="26.25" customHeight="1">
      <c r="A2" s="31"/>
      <c r="B2" s="258" t="s">
        <v>86</v>
      </c>
      <c r="C2" s="253"/>
      <c r="D2" s="259"/>
      <c r="E2" s="252" t="s">
        <v>87</v>
      </c>
      <c r="F2" s="253"/>
      <c r="G2" s="254"/>
      <c r="K2" s="31"/>
      <c r="L2" s="31"/>
      <c r="M2" s="31"/>
      <c r="N2" s="31"/>
    </row>
    <row r="3" spans="1:16" s="30" customFormat="1" ht="26.25" customHeight="1" thickBot="1">
      <c r="A3" s="31"/>
      <c r="B3" s="260" t="s">
        <v>88</v>
      </c>
      <c r="C3" s="256"/>
      <c r="D3" s="261"/>
      <c r="E3" s="255" t="s">
        <v>89</v>
      </c>
      <c r="F3" s="256"/>
      <c r="G3" s="257"/>
      <c r="K3" s="31"/>
      <c r="L3" s="31"/>
      <c r="M3" s="31"/>
      <c r="N3" s="31"/>
    </row>
    <row r="4" spans="1:16" s="30" customFormat="1" ht="26.25" customHeight="1">
      <c r="A4" s="31"/>
      <c r="B4" s="26"/>
      <c r="C4" s="103"/>
      <c r="D4" s="26"/>
      <c r="E4" s="103"/>
      <c r="F4" s="26"/>
      <c r="G4" s="103"/>
      <c r="K4" s="31"/>
      <c r="L4" s="31"/>
      <c r="M4" s="31"/>
      <c r="N4" s="31"/>
    </row>
    <row r="5" spans="1:16" s="30" customFormat="1" ht="26.25" customHeight="1" thickBot="1">
      <c r="A5" s="31"/>
      <c r="B5" s="27" t="s">
        <v>377</v>
      </c>
      <c r="C5" s="28"/>
      <c r="D5" s="28"/>
      <c r="E5" s="29"/>
      <c r="F5" s="29"/>
      <c r="G5" s="29"/>
      <c r="M5" s="31"/>
      <c r="N5" s="31"/>
      <c r="O5" s="31"/>
      <c r="P5" s="31"/>
    </row>
    <row r="6" spans="1:16" s="7" customFormat="1" ht="26.25" customHeight="1" thickBot="1">
      <c r="A6" s="1"/>
      <c r="B6" s="265" t="s">
        <v>90</v>
      </c>
      <c r="C6" s="266"/>
      <c r="D6" s="246" t="s">
        <v>91</v>
      </c>
      <c r="E6" s="266"/>
      <c r="F6" s="246" t="s">
        <v>92</v>
      </c>
      <c r="G6" s="247"/>
      <c r="M6" s="1"/>
      <c r="N6" s="1"/>
      <c r="O6" s="1"/>
      <c r="P6" s="1"/>
    </row>
    <row r="7" spans="1:16" s="30" customFormat="1" ht="26.25" customHeight="1">
      <c r="A7" s="31"/>
      <c r="B7" s="250" t="s">
        <v>240</v>
      </c>
      <c r="C7" s="251"/>
      <c r="D7" s="241" t="s">
        <v>94</v>
      </c>
      <c r="E7" s="242"/>
      <c r="F7" s="242" t="s">
        <v>95</v>
      </c>
      <c r="G7" s="243"/>
      <c r="M7" s="31"/>
      <c r="N7" s="31"/>
      <c r="O7" s="31"/>
      <c r="P7" s="31"/>
    </row>
    <row r="8" spans="1:16" ht="26.25" customHeight="1">
      <c r="B8" s="226" t="s">
        <v>93</v>
      </c>
      <c r="C8" s="227"/>
      <c r="D8" s="225" t="s">
        <v>97</v>
      </c>
      <c r="E8" s="225"/>
      <c r="F8" s="221" t="s">
        <v>98</v>
      </c>
      <c r="G8" s="222"/>
    </row>
    <row r="9" spans="1:16" s="30" customFormat="1" ht="26.25" customHeight="1">
      <c r="A9" s="31"/>
      <c r="B9" s="226" t="s">
        <v>96</v>
      </c>
      <c r="C9" s="227"/>
      <c r="D9" s="225" t="s">
        <v>99</v>
      </c>
      <c r="E9" s="225"/>
      <c r="F9" s="221" t="s">
        <v>239</v>
      </c>
      <c r="G9" s="222"/>
      <c r="M9" s="31"/>
      <c r="N9" s="31"/>
      <c r="O9" s="31"/>
      <c r="P9" s="31"/>
    </row>
    <row r="10" spans="1:16" s="30" customFormat="1" ht="26.25" customHeight="1">
      <c r="A10" s="31"/>
      <c r="B10" s="262" t="s">
        <v>101</v>
      </c>
      <c r="C10" s="263"/>
      <c r="D10" s="225" t="s">
        <v>102</v>
      </c>
      <c r="E10" s="225"/>
      <c r="F10" s="221" t="s">
        <v>286</v>
      </c>
      <c r="G10" s="222"/>
      <c r="M10" s="31"/>
      <c r="N10" s="31"/>
      <c r="O10" s="31"/>
      <c r="P10" s="31"/>
    </row>
    <row r="11" spans="1:16" s="30" customFormat="1" ht="26.25" customHeight="1">
      <c r="A11" s="31"/>
      <c r="B11" s="226" t="s">
        <v>104</v>
      </c>
      <c r="C11" s="227"/>
      <c r="D11" s="225" t="s">
        <v>105</v>
      </c>
      <c r="E11" s="221"/>
      <c r="F11" s="221" t="s">
        <v>100</v>
      </c>
      <c r="G11" s="222"/>
      <c r="M11" s="31"/>
      <c r="N11" s="31"/>
      <c r="O11" s="31"/>
      <c r="P11" s="31"/>
    </row>
    <row r="12" spans="1:16" s="30" customFormat="1" ht="26.25" customHeight="1">
      <c r="A12" s="31"/>
      <c r="B12" s="226" t="s">
        <v>107</v>
      </c>
      <c r="C12" s="227"/>
      <c r="D12" s="225" t="s">
        <v>108</v>
      </c>
      <c r="E12" s="225"/>
      <c r="F12" s="219" t="s">
        <v>103</v>
      </c>
      <c r="G12" s="220"/>
      <c r="M12" s="31"/>
      <c r="N12" s="31"/>
      <c r="O12" s="31"/>
      <c r="P12" s="31"/>
    </row>
    <row r="13" spans="1:16" s="30" customFormat="1" ht="26.25" customHeight="1">
      <c r="A13" s="31"/>
      <c r="B13" s="226" t="s">
        <v>110</v>
      </c>
      <c r="C13" s="227"/>
      <c r="D13" s="225" t="s">
        <v>113</v>
      </c>
      <c r="E13" s="221"/>
      <c r="F13" s="221" t="s">
        <v>106</v>
      </c>
      <c r="G13" s="222"/>
      <c r="M13" s="31"/>
      <c r="N13" s="31"/>
      <c r="O13" s="31"/>
      <c r="P13" s="31"/>
    </row>
    <row r="14" spans="1:16" s="30" customFormat="1" ht="26.25" customHeight="1">
      <c r="A14" s="31"/>
      <c r="B14" s="226"/>
      <c r="C14" s="227"/>
      <c r="D14" s="221" t="s">
        <v>115</v>
      </c>
      <c r="E14" s="264"/>
      <c r="F14" s="219" t="s">
        <v>109</v>
      </c>
      <c r="G14" s="220"/>
      <c r="M14" s="31"/>
      <c r="N14" s="31"/>
      <c r="O14" s="31"/>
      <c r="P14" s="31"/>
    </row>
    <row r="15" spans="1:16" s="30" customFormat="1" ht="26.25" customHeight="1">
      <c r="A15" s="31"/>
      <c r="B15" s="226"/>
      <c r="C15" s="227"/>
      <c r="D15" s="228" t="s">
        <v>111</v>
      </c>
      <c r="E15" s="229"/>
      <c r="F15" s="221" t="s">
        <v>112</v>
      </c>
      <c r="G15" s="222"/>
      <c r="M15" s="31"/>
      <c r="N15" s="31"/>
      <c r="O15" s="31"/>
      <c r="P15" s="31"/>
    </row>
    <row r="16" spans="1:16" s="30" customFormat="1" ht="26.25" customHeight="1">
      <c r="A16" s="31"/>
      <c r="B16" s="248"/>
      <c r="C16" s="249"/>
      <c r="D16" s="221" t="s">
        <v>271</v>
      </c>
      <c r="E16" s="221"/>
      <c r="F16" s="221" t="s">
        <v>114</v>
      </c>
      <c r="G16" s="222"/>
      <c r="M16" s="31"/>
      <c r="N16" s="31"/>
      <c r="O16" s="31"/>
      <c r="P16" s="31"/>
    </row>
    <row r="17" spans="1:16" s="30" customFormat="1" ht="26.25" customHeight="1">
      <c r="A17" s="31"/>
      <c r="B17" s="226"/>
      <c r="C17" s="227"/>
      <c r="D17" s="225" t="s">
        <v>117</v>
      </c>
      <c r="E17" s="225"/>
      <c r="F17" s="219" t="s">
        <v>116</v>
      </c>
      <c r="G17" s="220"/>
      <c r="M17" s="31"/>
      <c r="N17" s="31"/>
      <c r="O17" s="31"/>
      <c r="P17" s="31"/>
    </row>
    <row r="18" spans="1:16" s="30" customFormat="1" ht="26.25" customHeight="1">
      <c r="A18" s="31"/>
      <c r="B18" s="223"/>
      <c r="C18" s="224"/>
      <c r="D18" s="225" t="s">
        <v>119</v>
      </c>
      <c r="E18" s="221"/>
      <c r="F18" s="221" t="s">
        <v>118</v>
      </c>
      <c r="G18" s="222"/>
      <c r="M18" s="31"/>
      <c r="N18" s="31"/>
      <c r="O18" s="31"/>
      <c r="P18" s="31"/>
    </row>
    <row r="19" spans="1:16" s="30" customFormat="1" ht="26.25" customHeight="1">
      <c r="A19" s="31"/>
      <c r="B19" s="223"/>
      <c r="C19" s="224"/>
      <c r="D19" s="225" t="s">
        <v>121</v>
      </c>
      <c r="E19" s="221"/>
      <c r="F19" s="221" t="s">
        <v>120</v>
      </c>
      <c r="G19" s="222"/>
      <c r="M19" s="31"/>
      <c r="N19" s="31"/>
      <c r="O19" s="31"/>
      <c r="P19" s="31"/>
    </row>
    <row r="20" spans="1:16" s="30" customFormat="1" ht="26.25" customHeight="1">
      <c r="A20" s="31"/>
      <c r="B20" s="223"/>
      <c r="C20" s="224"/>
      <c r="D20" s="225" t="s">
        <v>123</v>
      </c>
      <c r="E20" s="221"/>
      <c r="F20" s="221" t="s">
        <v>122</v>
      </c>
      <c r="G20" s="222"/>
      <c r="M20" s="31"/>
      <c r="N20" s="31"/>
      <c r="O20" s="31"/>
      <c r="P20" s="31"/>
    </row>
    <row r="21" spans="1:16" s="30" customFormat="1" ht="26.25" customHeight="1">
      <c r="A21" s="31"/>
      <c r="B21" s="223"/>
      <c r="C21" s="224"/>
      <c r="D21" s="225" t="s">
        <v>124</v>
      </c>
      <c r="E21" s="221"/>
      <c r="F21" s="221"/>
      <c r="G21" s="222"/>
      <c r="M21" s="31"/>
      <c r="N21" s="31"/>
      <c r="O21" s="31"/>
      <c r="P21" s="31"/>
    </row>
    <row r="22" spans="1:16" s="30" customFormat="1" ht="26.25" customHeight="1">
      <c r="A22" s="31"/>
      <c r="B22" s="223"/>
      <c r="C22" s="224"/>
      <c r="D22" s="225" t="s">
        <v>262</v>
      </c>
      <c r="E22" s="221"/>
      <c r="F22" s="221"/>
      <c r="G22" s="222"/>
      <c r="M22" s="31"/>
      <c r="N22" s="31"/>
      <c r="O22" s="31"/>
      <c r="P22" s="31"/>
    </row>
    <row r="23" spans="1:16" s="30" customFormat="1" ht="26.25" customHeight="1">
      <c r="A23" s="31"/>
      <c r="B23" s="226"/>
      <c r="C23" s="227"/>
      <c r="D23" s="225" t="s">
        <v>125</v>
      </c>
      <c r="E23" s="225"/>
      <c r="F23" s="244"/>
      <c r="G23" s="245"/>
      <c r="M23" s="31"/>
      <c r="N23" s="31"/>
      <c r="O23" s="31"/>
      <c r="P23" s="31"/>
    </row>
    <row r="24" spans="1:16" s="30" customFormat="1" ht="26.25" customHeight="1" thickBot="1">
      <c r="A24" s="31"/>
      <c r="B24" s="236"/>
      <c r="C24" s="237"/>
      <c r="D24" s="238" t="s">
        <v>126</v>
      </c>
      <c r="E24" s="239"/>
      <c r="F24" s="239"/>
      <c r="G24" s="240"/>
      <c r="M24" s="31"/>
      <c r="N24" s="31"/>
      <c r="O24" s="31"/>
      <c r="P24" s="31"/>
    </row>
    <row r="25" spans="1:16" s="30" customFormat="1" ht="26.25" customHeight="1" thickBot="1">
      <c r="A25" s="31"/>
      <c r="B25" s="83"/>
      <c r="C25" s="84"/>
      <c r="D25" s="37"/>
      <c r="E25" s="32"/>
      <c r="F25" s="32"/>
      <c r="G25" s="32"/>
      <c r="M25" s="31"/>
      <c r="N25" s="31"/>
      <c r="O25" s="31"/>
      <c r="P25" s="31"/>
    </row>
    <row r="26" spans="1:16" s="30" customFormat="1" ht="26.25" customHeight="1" thickBot="1">
      <c r="A26" s="31"/>
      <c r="B26" s="233" t="s">
        <v>127</v>
      </c>
      <c r="C26" s="234"/>
      <c r="D26" s="234"/>
      <c r="E26" s="234"/>
      <c r="F26" s="234"/>
      <c r="G26" s="235"/>
      <c r="M26" s="31"/>
      <c r="N26" s="31"/>
      <c r="O26" s="31"/>
      <c r="P26" s="31"/>
    </row>
    <row r="27" spans="1:16" s="30" customFormat="1" ht="26.25" customHeight="1" thickBot="1">
      <c r="A27" s="31"/>
      <c r="B27" s="230" t="s">
        <v>128</v>
      </c>
      <c r="C27" s="231"/>
      <c r="D27" s="231"/>
      <c r="E27" s="231"/>
      <c r="F27" s="231"/>
      <c r="G27" s="232"/>
      <c r="M27" s="31"/>
      <c r="N27" s="31"/>
      <c r="O27" s="31"/>
      <c r="P27" s="31"/>
    </row>
    <row r="28" spans="1:16" s="30" customFormat="1" ht="26.25" customHeight="1">
      <c r="A28" s="31"/>
      <c r="B28" s="32" t="s">
        <v>129</v>
      </c>
      <c r="C28" s="28"/>
      <c r="D28" s="28"/>
      <c r="E28" s="29"/>
      <c r="F28" s="29"/>
      <c r="G28" s="29"/>
      <c r="M28" s="31"/>
      <c r="N28" s="31"/>
      <c r="O28" s="31"/>
      <c r="P28" s="31"/>
    </row>
    <row r="29" spans="1:16" s="30" customFormat="1" ht="26.25" customHeight="1">
      <c r="A29" s="31"/>
      <c r="B29" s="32" t="s">
        <v>130</v>
      </c>
      <c r="C29" s="28"/>
      <c r="D29" s="28"/>
      <c r="E29" s="29"/>
      <c r="F29" s="29"/>
      <c r="G29" s="29"/>
      <c r="M29" s="31"/>
      <c r="N29" s="31"/>
      <c r="O29" s="31"/>
      <c r="P29" s="31"/>
    </row>
    <row r="30" spans="1:16" s="30" customFormat="1" ht="26.25" customHeight="1">
      <c r="A30" s="31"/>
      <c r="B30" s="32" t="s">
        <v>131</v>
      </c>
      <c r="C30" s="28"/>
      <c r="D30" s="28"/>
      <c r="E30" s="29"/>
      <c r="F30" s="29"/>
      <c r="G30" s="29"/>
      <c r="M30" s="31"/>
      <c r="N30" s="31"/>
      <c r="O30" s="31"/>
      <c r="P30" s="31"/>
    </row>
    <row r="31" spans="1:16" s="30" customFormat="1" ht="26.25" customHeight="1">
      <c r="A31" s="31"/>
      <c r="B31" s="32"/>
      <c r="C31" s="28"/>
      <c r="D31" s="28"/>
      <c r="E31" s="29"/>
      <c r="F31" s="29"/>
      <c r="G31" s="29"/>
      <c r="M31" s="31"/>
      <c r="N31" s="31"/>
      <c r="O31" s="31"/>
      <c r="P31" s="31"/>
    </row>
    <row r="32" spans="1:16" s="1" customFormat="1" ht="26.25" customHeight="1">
      <c r="B32" s="40" t="s">
        <v>367</v>
      </c>
      <c r="H32" s="7"/>
      <c r="I32" s="7"/>
      <c r="J32" s="7"/>
      <c r="K32" s="7"/>
      <c r="L32" s="7"/>
    </row>
    <row r="44" spans="2:8" ht="26.25" customHeight="1">
      <c r="B44" s="152"/>
      <c r="C44" s="152"/>
      <c r="D44" s="152"/>
      <c r="E44" s="152"/>
      <c r="F44" s="152"/>
      <c r="H44" s="35" t="s">
        <v>85</v>
      </c>
    </row>
  </sheetData>
  <sortState xmlns:xlrd2="http://schemas.microsoft.com/office/spreadsheetml/2017/richdata2" ref="F8:G20">
    <sortCondition ref="F7:F20"/>
  </sortState>
  <mergeCells count="63">
    <mergeCell ref="E2:G2"/>
    <mergeCell ref="E3:G3"/>
    <mergeCell ref="B2:D2"/>
    <mergeCell ref="B3:D3"/>
    <mergeCell ref="D21:E21"/>
    <mergeCell ref="F21:G21"/>
    <mergeCell ref="B10:C10"/>
    <mergeCell ref="D10:E10"/>
    <mergeCell ref="F10:G10"/>
    <mergeCell ref="B11:C11"/>
    <mergeCell ref="D11:E11"/>
    <mergeCell ref="D14:E14"/>
    <mergeCell ref="F14:G14"/>
    <mergeCell ref="B15:C15"/>
    <mergeCell ref="B6:C6"/>
    <mergeCell ref="D6:E6"/>
    <mergeCell ref="F6:G6"/>
    <mergeCell ref="B16:C16"/>
    <mergeCell ref="D16:E16"/>
    <mergeCell ref="F16:G16"/>
    <mergeCell ref="F11:G11"/>
    <mergeCell ref="B8:C8"/>
    <mergeCell ref="D8:E8"/>
    <mergeCell ref="F8:G8"/>
    <mergeCell ref="B9:C9"/>
    <mergeCell ref="D9:E9"/>
    <mergeCell ref="F9:G9"/>
    <mergeCell ref="B12:C12"/>
    <mergeCell ref="D12:E12"/>
    <mergeCell ref="F15:G15"/>
    <mergeCell ref="F12:G12"/>
    <mergeCell ref="B7:C7"/>
    <mergeCell ref="D7:E7"/>
    <mergeCell ref="F7:G7"/>
    <mergeCell ref="B23:C23"/>
    <mergeCell ref="D23:E23"/>
    <mergeCell ref="F23:G23"/>
    <mergeCell ref="B19:C19"/>
    <mergeCell ref="D19:E19"/>
    <mergeCell ref="F19:G19"/>
    <mergeCell ref="B20:C20"/>
    <mergeCell ref="D20:E20"/>
    <mergeCell ref="F20:G20"/>
    <mergeCell ref="B13:C13"/>
    <mergeCell ref="D13:E13"/>
    <mergeCell ref="B21:C21"/>
    <mergeCell ref="B17:C17"/>
    <mergeCell ref="D17:E17"/>
    <mergeCell ref="B27:G27"/>
    <mergeCell ref="B26:G26"/>
    <mergeCell ref="B24:C24"/>
    <mergeCell ref="B22:C22"/>
    <mergeCell ref="D22:E22"/>
    <mergeCell ref="F22:G22"/>
    <mergeCell ref="D24:E24"/>
    <mergeCell ref="F24:G24"/>
    <mergeCell ref="F17:G17"/>
    <mergeCell ref="F13:G13"/>
    <mergeCell ref="B18:C18"/>
    <mergeCell ref="D18:E18"/>
    <mergeCell ref="F18:G18"/>
    <mergeCell ref="B14:C14"/>
    <mergeCell ref="D15:E15"/>
  </mergeCells>
  <pageMargins left="0.70866141732283505" right="0.31496062992126" top="0.55118110236220497" bottom="0.35433070866141703" header="0.31496062992126" footer="0.31496062992126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7C41-450A-4171-B800-CD36BE5333B0}">
  <sheetPr>
    <pageSetUpPr fitToPage="1"/>
  </sheetPr>
  <dimension ref="A1:P44"/>
  <sheetViews>
    <sheetView view="pageBreakPreview" zoomScale="125" zoomScaleNormal="100" zoomScaleSheetLayoutView="125" workbookViewId="0">
      <selection activeCell="F26" sqref="F26:F33"/>
    </sheetView>
  </sheetViews>
  <sheetFormatPr baseColWidth="10" defaultColWidth="9.1640625" defaultRowHeight="26.25" customHeight="1"/>
  <cols>
    <col min="1" max="1" width="1.6640625" style="1" customWidth="1"/>
    <col min="2" max="3" width="22.83203125" style="1" customWidth="1"/>
    <col min="4" max="7" width="18.83203125" style="1" customWidth="1"/>
    <col min="8" max="8" width="1.6640625" style="7" customWidth="1"/>
    <col min="9" max="12" width="25.6640625" style="7" customWidth="1"/>
    <col min="13" max="17" width="25.6640625" style="1" customWidth="1"/>
    <col min="18" max="16384" width="9.1640625" style="1"/>
  </cols>
  <sheetData>
    <row r="1" spans="1:16" s="7" customFormat="1" ht="26.25" customHeight="1">
      <c r="A1" s="1"/>
      <c r="B1" s="101" t="s">
        <v>368</v>
      </c>
      <c r="C1" s="102"/>
      <c r="D1" s="45"/>
      <c r="E1" s="23"/>
      <c r="F1" s="23"/>
      <c r="G1" s="23"/>
      <c r="M1" s="1"/>
      <c r="N1" s="1"/>
      <c r="O1" s="1"/>
      <c r="P1" s="1"/>
    </row>
    <row r="2" spans="1:16" s="7" customFormat="1" ht="26.25" customHeight="1">
      <c r="A2" s="1"/>
      <c r="B2" s="2"/>
      <c r="C2" s="101" t="s">
        <v>139</v>
      </c>
      <c r="D2" s="45"/>
      <c r="E2" s="23"/>
      <c r="F2" s="23"/>
      <c r="G2" s="23"/>
      <c r="M2" s="1"/>
      <c r="N2" s="1"/>
      <c r="O2" s="1"/>
      <c r="P2" s="1"/>
    </row>
    <row r="3" spans="1:16" s="7" customFormat="1" ht="26.25" customHeight="1" thickBot="1">
      <c r="A3" s="1"/>
      <c r="B3" s="2"/>
      <c r="C3" s="102"/>
      <c r="D3" s="23" t="s">
        <v>140</v>
      </c>
      <c r="E3" s="23"/>
      <c r="F3" s="23"/>
      <c r="G3" s="23"/>
      <c r="M3" s="1"/>
      <c r="N3" s="1"/>
      <c r="O3" s="1"/>
      <c r="P3" s="1"/>
    </row>
    <row r="4" spans="1:16" s="7" customFormat="1" ht="47" customHeight="1" thickBot="1">
      <c r="A4" s="1"/>
      <c r="B4" s="267" t="s">
        <v>133</v>
      </c>
      <c r="C4" s="284"/>
      <c r="D4" s="46" t="s">
        <v>134</v>
      </c>
      <c r="E4" s="47" t="s">
        <v>135</v>
      </c>
      <c r="F4" s="47" t="s">
        <v>136</v>
      </c>
      <c r="G4" s="38" t="s">
        <v>137</v>
      </c>
      <c r="M4" s="1"/>
      <c r="N4" s="1"/>
      <c r="O4" s="1"/>
      <c r="P4" s="1"/>
    </row>
    <row r="5" spans="1:16" s="7" customFormat="1" ht="26.25" customHeight="1">
      <c r="A5" s="1"/>
      <c r="B5" s="285" t="s">
        <v>141</v>
      </c>
      <c r="C5" s="286"/>
      <c r="D5" s="287">
        <f>Стандарт_2*2</f>
        <v>9500</v>
      </c>
      <c r="E5" s="289">
        <f>Стандарт_2*2+Патина</f>
        <v>12500</v>
      </c>
      <c r="F5" s="289">
        <f>Престиж_2*2</f>
        <v>13900</v>
      </c>
      <c r="G5" s="283">
        <f>Престиж_2*2+Патина</f>
        <v>16900</v>
      </c>
      <c r="M5" s="1"/>
      <c r="N5" s="1"/>
      <c r="O5" s="1"/>
      <c r="P5" s="1"/>
    </row>
    <row r="6" spans="1:16" s="7" customFormat="1" ht="26.25" customHeight="1">
      <c r="A6" s="1"/>
      <c r="B6" s="273" t="s">
        <v>142</v>
      </c>
      <c r="C6" s="274"/>
      <c r="D6" s="288"/>
      <c r="E6" s="270"/>
      <c r="F6" s="270"/>
      <c r="G6" s="272"/>
      <c r="M6" s="1"/>
      <c r="N6" s="1"/>
      <c r="O6" s="1"/>
      <c r="P6" s="1"/>
    </row>
    <row r="7" spans="1:16" s="7" customFormat="1" ht="26.25" customHeight="1">
      <c r="A7" s="1"/>
      <c r="B7" s="273" t="s">
        <v>143</v>
      </c>
      <c r="C7" s="274"/>
      <c r="D7" s="288"/>
      <c r="E7" s="270"/>
      <c r="F7" s="270"/>
      <c r="G7" s="272"/>
      <c r="M7" s="1"/>
      <c r="N7" s="1"/>
      <c r="O7" s="1"/>
      <c r="P7" s="1"/>
    </row>
    <row r="8" spans="1:16" s="7" customFormat="1" ht="26.25" customHeight="1">
      <c r="A8" s="1"/>
      <c r="B8" s="273" t="s">
        <v>144</v>
      </c>
      <c r="C8" s="274"/>
      <c r="D8" s="288"/>
      <c r="E8" s="270"/>
      <c r="F8" s="270"/>
      <c r="G8" s="272"/>
      <c r="M8" s="1"/>
      <c r="N8" s="1"/>
      <c r="O8" s="1"/>
      <c r="P8" s="1"/>
    </row>
    <row r="9" spans="1:16" s="7" customFormat="1" ht="26.25" customHeight="1">
      <c r="A9" s="1"/>
      <c r="B9" s="273" t="s">
        <v>145</v>
      </c>
      <c r="C9" s="274"/>
      <c r="D9" s="275">
        <f>Стандарт_2*3</f>
        <v>14250</v>
      </c>
      <c r="E9" s="269">
        <f>Стандарт_2*3+Патина</f>
        <v>17250</v>
      </c>
      <c r="F9" s="269">
        <f>Престиж_2*3</f>
        <v>20850</v>
      </c>
      <c r="G9" s="271">
        <f>F9+Патина</f>
        <v>23850</v>
      </c>
      <c r="M9" s="1"/>
      <c r="N9" s="1"/>
      <c r="O9" s="1"/>
      <c r="P9" s="1"/>
    </row>
    <row r="10" spans="1:16" s="7" customFormat="1" ht="26.25" customHeight="1">
      <c r="A10" s="1"/>
      <c r="B10" s="273"/>
      <c r="C10" s="274"/>
      <c r="D10" s="275"/>
      <c r="E10" s="269"/>
      <c r="F10" s="269"/>
      <c r="G10" s="271"/>
      <c r="M10" s="1"/>
      <c r="N10" s="1"/>
      <c r="O10" s="1"/>
      <c r="P10" s="1"/>
    </row>
    <row r="11" spans="1:16" s="7" customFormat="1" ht="26.25" customHeight="1">
      <c r="A11" s="1"/>
      <c r="B11" s="273" t="s">
        <v>146</v>
      </c>
      <c r="C11" s="274"/>
      <c r="D11" s="276"/>
      <c r="E11" s="270"/>
      <c r="F11" s="270"/>
      <c r="G11" s="272"/>
      <c r="M11" s="1"/>
      <c r="N11" s="1"/>
      <c r="O11" s="1"/>
      <c r="P11" s="1"/>
    </row>
    <row r="12" spans="1:16" s="7" customFormat="1" ht="26.25" customHeight="1">
      <c r="A12" s="1"/>
      <c r="B12" s="273"/>
      <c r="C12" s="274"/>
      <c r="D12" s="276"/>
      <c r="E12" s="270"/>
      <c r="F12" s="270"/>
      <c r="G12" s="272"/>
      <c r="M12" s="1"/>
      <c r="N12" s="1"/>
      <c r="O12" s="1"/>
      <c r="P12" s="1"/>
    </row>
    <row r="13" spans="1:16" s="7" customFormat="1" ht="26.25" customHeight="1">
      <c r="A13" s="1"/>
      <c r="B13" s="277" t="s">
        <v>147</v>
      </c>
      <c r="C13" s="278"/>
      <c r="D13" s="276"/>
      <c r="E13" s="270"/>
      <c r="F13" s="270"/>
      <c r="G13" s="272"/>
      <c r="M13" s="1"/>
      <c r="N13" s="1"/>
      <c r="O13" s="1"/>
      <c r="P13" s="1"/>
    </row>
    <row r="14" spans="1:16" s="7" customFormat="1" ht="26.25" customHeight="1">
      <c r="A14" s="1"/>
      <c r="B14" s="279"/>
      <c r="C14" s="280"/>
      <c r="D14" s="276"/>
      <c r="E14" s="270"/>
      <c r="F14" s="270"/>
      <c r="G14" s="272"/>
      <c r="M14" s="1"/>
      <c r="N14" s="1"/>
      <c r="O14" s="1"/>
      <c r="P14" s="1"/>
    </row>
    <row r="15" spans="1:16" s="7" customFormat="1" ht="26.25" customHeight="1">
      <c r="A15" s="1"/>
      <c r="B15" s="273" t="s">
        <v>148</v>
      </c>
      <c r="C15" s="274"/>
      <c r="D15" s="276"/>
      <c r="E15" s="270"/>
      <c r="F15" s="270"/>
      <c r="G15" s="272"/>
      <c r="M15" s="1"/>
      <c r="N15" s="1"/>
      <c r="O15" s="1"/>
      <c r="P15" s="1"/>
    </row>
    <row r="16" spans="1:16" s="7" customFormat="1" ht="26.25" customHeight="1">
      <c r="A16" s="1"/>
      <c r="B16" s="273" t="s">
        <v>149</v>
      </c>
      <c r="C16" s="274"/>
      <c r="D16" s="276"/>
      <c r="E16" s="270"/>
      <c r="F16" s="270"/>
      <c r="G16" s="272"/>
      <c r="M16" s="1"/>
      <c r="N16" s="1"/>
      <c r="O16" s="1"/>
      <c r="P16" s="1"/>
    </row>
    <row r="17" spans="1:16" s="7" customFormat="1" ht="26.25" customHeight="1">
      <c r="A17" s="1"/>
      <c r="B17" s="273" t="s">
        <v>150</v>
      </c>
      <c r="C17" s="274"/>
      <c r="D17" s="276"/>
      <c r="E17" s="270"/>
      <c r="F17" s="270"/>
      <c r="G17" s="272"/>
      <c r="M17" s="1"/>
      <c r="N17" s="1"/>
      <c r="O17" s="1"/>
      <c r="P17" s="1"/>
    </row>
    <row r="18" spans="1:16" s="7" customFormat="1" ht="26.25" customHeight="1" thickBot="1">
      <c r="A18" s="1"/>
      <c r="B18" s="281" t="s">
        <v>151</v>
      </c>
      <c r="C18" s="282"/>
      <c r="D18" s="68">
        <f>Стандарт_2*4</f>
        <v>19000</v>
      </c>
      <c r="E18" s="50">
        <f>Стандарт_2*4+Патина</f>
        <v>22000</v>
      </c>
      <c r="F18" s="50">
        <f>Престиж_2*4</f>
        <v>27800</v>
      </c>
      <c r="G18" s="51">
        <f>Престиж_2*4+Патина</f>
        <v>30800</v>
      </c>
      <c r="M18" s="1"/>
      <c r="N18" s="1"/>
      <c r="O18" s="1"/>
      <c r="P18" s="1"/>
    </row>
    <row r="19" spans="1:16" s="7" customFormat="1" ht="26.25" customHeight="1">
      <c r="A19" s="1"/>
      <c r="B19" s="2" t="s">
        <v>250</v>
      </c>
      <c r="C19" s="2"/>
      <c r="D19" s="10"/>
      <c r="E19" s="13"/>
      <c r="F19" s="13"/>
      <c r="G19" s="13"/>
      <c r="M19" s="1"/>
      <c r="N19" s="1"/>
      <c r="O19" s="1"/>
      <c r="P19" s="1"/>
    </row>
    <row r="20" spans="1:16" s="7" customFormat="1" ht="26.25" customHeight="1">
      <c r="A20" s="1"/>
      <c r="B20" s="2"/>
      <c r="C20" s="2"/>
      <c r="D20" s="22"/>
      <c r="E20" s="23"/>
      <c r="F20" s="13"/>
      <c r="G20" s="13"/>
      <c r="M20" s="1"/>
      <c r="N20" s="1"/>
      <c r="O20" s="1"/>
      <c r="P20" s="1"/>
    </row>
    <row r="21" spans="1:16" s="7" customFormat="1" ht="26.25" customHeight="1">
      <c r="A21" s="1"/>
      <c r="B21" s="101" t="s">
        <v>369</v>
      </c>
      <c r="C21" s="102"/>
      <c r="D21" s="45"/>
      <c r="E21" s="23"/>
      <c r="F21" s="23"/>
      <c r="G21" s="23"/>
      <c r="M21" s="1"/>
      <c r="N21" s="1"/>
      <c r="O21" s="1"/>
      <c r="P21" s="1"/>
    </row>
    <row r="22" spans="1:16" s="7" customFormat="1" ht="26.25" customHeight="1">
      <c r="A22" s="1"/>
      <c r="B22" s="2"/>
      <c r="C22" s="101" t="s">
        <v>152</v>
      </c>
      <c r="D22" s="45"/>
      <c r="E22" s="23"/>
      <c r="F22" s="23"/>
      <c r="G22" s="23"/>
      <c r="M22" s="1"/>
      <c r="N22" s="1"/>
      <c r="O22" s="1"/>
      <c r="P22" s="1"/>
    </row>
    <row r="23" spans="1:16" s="7" customFormat="1" ht="26.25" customHeight="1" thickBot="1">
      <c r="A23" s="1"/>
      <c r="B23" s="2"/>
      <c r="C23" s="23" t="s">
        <v>249</v>
      </c>
      <c r="E23" s="23"/>
      <c r="F23" s="23"/>
      <c r="G23" s="23"/>
      <c r="M23" s="1"/>
      <c r="N23" s="1"/>
      <c r="O23" s="1"/>
      <c r="P23" s="1"/>
    </row>
    <row r="24" spans="1:16" s="7" customFormat="1" ht="44" customHeight="1" thickBot="1">
      <c r="A24" s="1"/>
      <c r="B24" s="267" t="s">
        <v>133</v>
      </c>
      <c r="C24" s="268"/>
      <c r="D24" s="183" t="s">
        <v>134</v>
      </c>
      <c r="E24" s="184" t="s">
        <v>135</v>
      </c>
      <c r="F24" s="184" t="s">
        <v>136</v>
      </c>
      <c r="G24" s="185" t="s">
        <v>137</v>
      </c>
      <c r="M24" s="1"/>
      <c r="N24" s="1"/>
      <c r="O24" s="1"/>
      <c r="P24" s="1"/>
    </row>
    <row r="25" spans="1:16" s="7" customFormat="1" ht="26.25" customHeight="1">
      <c r="A25" s="1"/>
      <c r="B25" s="298" t="s">
        <v>153</v>
      </c>
      <c r="C25" s="299"/>
      <c r="D25" s="53">
        <f>Стандарт_2/10</f>
        <v>475</v>
      </c>
      <c r="E25" s="47">
        <f>(Стандарт_2+Патина)/10</f>
        <v>775</v>
      </c>
      <c r="F25" s="47">
        <f>Престиж_2/10</f>
        <v>695</v>
      </c>
      <c r="G25" s="38">
        <f>(Престиж_2+Патина)/10</f>
        <v>995</v>
      </c>
      <c r="M25" s="1"/>
      <c r="N25" s="1"/>
      <c r="O25" s="1"/>
      <c r="P25" s="1"/>
    </row>
    <row r="26" spans="1:16" s="7" customFormat="1" ht="26.25" customHeight="1">
      <c r="A26" s="1"/>
      <c r="B26" s="296" t="s">
        <v>154</v>
      </c>
      <c r="C26" s="297"/>
      <c r="D26" s="311">
        <f>Стандарт_2*2/10</f>
        <v>950</v>
      </c>
      <c r="E26" s="300">
        <f>(Стандарт_2*2+Патина)/10</f>
        <v>1250</v>
      </c>
      <c r="F26" s="290">
        <f>(Престиж_2*2)/10</f>
        <v>1390</v>
      </c>
      <c r="G26" s="293">
        <f>(Престиж_2*2+Патина)/10</f>
        <v>1690</v>
      </c>
      <c r="M26" s="1"/>
      <c r="N26" s="1"/>
      <c r="O26" s="1"/>
      <c r="P26" s="1"/>
    </row>
    <row r="27" spans="1:16" s="7" customFormat="1" ht="26.25" customHeight="1">
      <c r="A27" s="1"/>
      <c r="B27" s="296" t="s">
        <v>155</v>
      </c>
      <c r="C27" s="297"/>
      <c r="D27" s="312"/>
      <c r="E27" s="301"/>
      <c r="F27" s="291"/>
      <c r="G27" s="294"/>
      <c r="M27" s="1"/>
      <c r="N27" s="1"/>
      <c r="O27" s="1"/>
      <c r="P27" s="1"/>
    </row>
    <row r="28" spans="1:16" s="7" customFormat="1" ht="26.25" customHeight="1">
      <c r="A28" s="1"/>
      <c r="B28" s="296" t="s">
        <v>156</v>
      </c>
      <c r="C28" s="297"/>
      <c r="D28" s="312"/>
      <c r="E28" s="301"/>
      <c r="F28" s="291"/>
      <c r="G28" s="294"/>
      <c r="M28" s="1"/>
      <c r="N28" s="1"/>
      <c r="O28" s="1"/>
      <c r="P28" s="1"/>
    </row>
    <row r="29" spans="1:16" s="7" customFormat="1" ht="26.25" customHeight="1">
      <c r="A29" s="1"/>
      <c r="B29" s="296" t="s">
        <v>157</v>
      </c>
      <c r="C29" s="297"/>
      <c r="D29" s="312"/>
      <c r="E29" s="301"/>
      <c r="F29" s="291"/>
      <c r="G29" s="294"/>
      <c r="M29" s="1"/>
      <c r="N29" s="1"/>
      <c r="O29" s="1"/>
      <c r="P29" s="1"/>
    </row>
    <row r="30" spans="1:16" s="7" customFormat="1" ht="26.25" customHeight="1">
      <c r="A30" s="1"/>
      <c r="B30" s="296" t="s">
        <v>158</v>
      </c>
      <c r="C30" s="297"/>
      <c r="D30" s="312"/>
      <c r="E30" s="301"/>
      <c r="F30" s="291"/>
      <c r="G30" s="294"/>
      <c r="M30" s="1"/>
      <c r="N30" s="1"/>
      <c r="O30" s="1"/>
      <c r="P30" s="1"/>
    </row>
    <row r="31" spans="1:16" s="7" customFormat="1" ht="26.25" customHeight="1">
      <c r="A31" s="1"/>
      <c r="B31" s="296" t="s">
        <v>159</v>
      </c>
      <c r="C31" s="297"/>
      <c r="D31" s="312"/>
      <c r="E31" s="301"/>
      <c r="F31" s="291"/>
      <c r="G31" s="294"/>
      <c r="M31" s="1"/>
      <c r="N31" s="1"/>
      <c r="O31" s="1"/>
      <c r="P31" s="1"/>
    </row>
    <row r="32" spans="1:16" s="7" customFormat="1" ht="26.25" customHeight="1">
      <c r="A32" s="1"/>
      <c r="B32" s="296" t="s">
        <v>160</v>
      </c>
      <c r="C32" s="297"/>
      <c r="D32" s="312"/>
      <c r="E32" s="301"/>
      <c r="F32" s="291"/>
      <c r="G32" s="294"/>
      <c r="M32" s="1"/>
      <c r="N32" s="1"/>
      <c r="O32" s="1"/>
      <c r="P32" s="1"/>
    </row>
    <row r="33" spans="1:16" s="7" customFormat="1" ht="26.25" customHeight="1">
      <c r="A33" s="1"/>
      <c r="B33" s="296" t="s">
        <v>161</v>
      </c>
      <c r="C33" s="297"/>
      <c r="D33" s="313"/>
      <c r="E33" s="314"/>
      <c r="F33" s="292"/>
      <c r="G33" s="295"/>
      <c r="M33" s="1"/>
      <c r="N33" s="1"/>
      <c r="O33" s="1"/>
      <c r="P33" s="1"/>
    </row>
    <row r="34" spans="1:16" s="7" customFormat="1" ht="26.25" customHeight="1">
      <c r="A34" s="1"/>
      <c r="B34" s="296" t="s">
        <v>162</v>
      </c>
      <c r="C34" s="297"/>
      <c r="D34" s="305">
        <f>Стандарт_2*3/10</f>
        <v>1425</v>
      </c>
      <c r="E34" s="300">
        <f>(Стандарт_2*3+Патина)/10</f>
        <v>1725</v>
      </c>
      <c r="F34" s="290">
        <f>Престиж_2*3/10</f>
        <v>2085</v>
      </c>
      <c r="G34" s="293">
        <f>(Престиж_2*3+Патина)/10</f>
        <v>2385</v>
      </c>
      <c r="M34" s="1"/>
      <c r="N34" s="1"/>
      <c r="O34" s="1"/>
      <c r="P34" s="1"/>
    </row>
    <row r="35" spans="1:16" s="7" customFormat="1" ht="26.25" customHeight="1">
      <c r="A35" s="1"/>
      <c r="B35" s="296" t="s">
        <v>163</v>
      </c>
      <c r="C35" s="297"/>
      <c r="D35" s="306"/>
      <c r="E35" s="301"/>
      <c r="F35" s="291"/>
      <c r="G35" s="294"/>
      <c r="M35" s="1"/>
      <c r="N35" s="1"/>
      <c r="O35" s="1"/>
      <c r="P35" s="1"/>
    </row>
    <row r="36" spans="1:16" s="7" customFormat="1" ht="26.25" customHeight="1">
      <c r="A36" s="1"/>
      <c r="B36" s="296" t="s">
        <v>164</v>
      </c>
      <c r="C36" s="297"/>
      <c r="D36" s="306"/>
      <c r="E36" s="301"/>
      <c r="F36" s="291"/>
      <c r="G36" s="294"/>
      <c r="M36" s="1"/>
      <c r="N36" s="1"/>
      <c r="O36" s="1"/>
      <c r="P36" s="1"/>
    </row>
    <row r="37" spans="1:16" s="7" customFormat="1" ht="26.25" customHeight="1">
      <c r="A37" s="1"/>
      <c r="B37" s="296" t="s">
        <v>165</v>
      </c>
      <c r="C37" s="297"/>
      <c r="D37" s="306"/>
      <c r="E37" s="301"/>
      <c r="F37" s="291"/>
      <c r="G37" s="294"/>
      <c r="M37" s="1"/>
      <c r="N37" s="1"/>
      <c r="O37" s="1"/>
      <c r="P37" s="1"/>
    </row>
    <row r="38" spans="1:16" s="7" customFormat="1" ht="26.25" customHeight="1">
      <c r="A38" s="1"/>
      <c r="B38" s="296" t="s">
        <v>166</v>
      </c>
      <c r="C38" s="297"/>
      <c r="D38" s="306"/>
      <c r="E38" s="301"/>
      <c r="F38" s="291"/>
      <c r="G38" s="294"/>
      <c r="M38" s="1"/>
      <c r="N38" s="1"/>
      <c r="O38" s="1"/>
      <c r="P38" s="1"/>
    </row>
    <row r="39" spans="1:16" s="7" customFormat="1" ht="26.25" customHeight="1">
      <c r="A39" s="1"/>
      <c r="B39" s="296" t="s">
        <v>167</v>
      </c>
      <c r="C39" s="297"/>
      <c r="D39" s="306"/>
      <c r="E39" s="301"/>
      <c r="F39" s="291"/>
      <c r="G39" s="294"/>
      <c r="M39" s="1"/>
      <c r="N39" s="1"/>
      <c r="O39" s="1"/>
      <c r="P39" s="1"/>
    </row>
    <row r="40" spans="1:16" s="7" customFormat="1" ht="26.25" customHeight="1">
      <c r="A40" s="1"/>
      <c r="B40" s="296" t="s">
        <v>168</v>
      </c>
      <c r="C40" s="297"/>
      <c r="D40" s="306"/>
      <c r="E40" s="301"/>
      <c r="F40" s="291"/>
      <c r="G40" s="294"/>
      <c r="M40" s="1"/>
      <c r="N40" s="1"/>
      <c r="O40" s="1"/>
      <c r="P40" s="1"/>
    </row>
    <row r="41" spans="1:16" s="7" customFormat="1" ht="26.25" customHeight="1">
      <c r="A41" s="1"/>
      <c r="B41" s="277" t="s">
        <v>169</v>
      </c>
      <c r="C41" s="308"/>
      <c r="D41" s="306"/>
      <c r="E41" s="301"/>
      <c r="F41" s="291"/>
      <c r="G41" s="294"/>
      <c r="M41" s="1"/>
      <c r="N41" s="1"/>
      <c r="O41" s="1"/>
      <c r="P41" s="1"/>
    </row>
    <row r="42" spans="1:16" s="7" customFormat="1" ht="26.25" customHeight="1" thickBot="1">
      <c r="A42" s="1"/>
      <c r="B42" s="309"/>
      <c r="C42" s="310"/>
      <c r="D42" s="307"/>
      <c r="E42" s="302"/>
      <c r="F42" s="303"/>
      <c r="G42" s="304"/>
      <c r="M42" s="1"/>
      <c r="N42" s="1"/>
      <c r="O42" s="1"/>
      <c r="P42" s="1"/>
    </row>
    <row r="43" spans="1:16" s="7" customFormat="1" ht="26.25" customHeight="1">
      <c r="A43" s="1"/>
      <c r="B43" s="2" t="s">
        <v>170</v>
      </c>
      <c r="C43" s="102"/>
      <c r="D43" s="45"/>
      <c r="E43" s="23"/>
      <c r="F43" s="23"/>
      <c r="G43" s="23"/>
      <c r="M43" s="1"/>
      <c r="N43" s="1"/>
      <c r="O43" s="1"/>
      <c r="P43" s="1"/>
    </row>
    <row r="44" spans="1:16" ht="26.25" customHeight="1">
      <c r="H44" s="25" t="s">
        <v>138</v>
      </c>
    </row>
  </sheetData>
  <sortState xmlns:xlrd2="http://schemas.microsoft.com/office/spreadsheetml/2017/richdata2" ref="B34:C40">
    <sortCondition ref="B34"/>
  </sortState>
  <mergeCells count="46">
    <mergeCell ref="B25:C25"/>
    <mergeCell ref="B34:C34"/>
    <mergeCell ref="E34:E42"/>
    <mergeCell ref="F34:F42"/>
    <mergeCell ref="G34:G42"/>
    <mergeCell ref="B35:C35"/>
    <mergeCell ref="B36:C36"/>
    <mergeCell ref="B37:C37"/>
    <mergeCell ref="B38:C38"/>
    <mergeCell ref="B39:C39"/>
    <mergeCell ref="B40:C40"/>
    <mergeCell ref="D34:D42"/>
    <mergeCell ref="B41:C42"/>
    <mergeCell ref="B26:C26"/>
    <mergeCell ref="D26:D33"/>
    <mergeCell ref="E26:E33"/>
    <mergeCell ref="F26:F33"/>
    <mergeCell ref="G26:G33"/>
    <mergeCell ref="B27:C27"/>
    <mergeCell ref="B28:C28"/>
    <mergeCell ref="B29:C29"/>
    <mergeCell ref="B30:C30"/>
    <mergeCell ref="B31:C31"/>
    <mergeCell ref="B33:C33"/>
    <mergeCell ref="B32:C32"/>
    <mergeCell ref="G5:G8"/>
    <mergeCell ref="B6:C6"/>
    <mergeCell ref="B7:C7"/>
    <mergeCell ref="B8:C8"/>
    <mergeCell ref="B4:C4"/>
    <mergeCell ref="B5:C5"/>
    <mergeCell ref="D5:D8"/>
    <mergeCell ref="E5:E8"/>
    <mergeCell ref="F5:F8"/>
    <mergeCell ref="B24:C24"/>
    <mergeCell ref="F9:F17"/>
    <mergeCell ref="G9:G17"/>
    <mergeCell ref="B11:C12"/>
    <mergeCell ref="B15:C15"/>
    <mergeCell ref="B17:C17"/>
    <mergeCell ref="B9:C10"/>
    <mergeCell ref="D9:D17"/>
    <mergeCell ref="E9:E17"/>
    <mergeCell ref="B13:C14"/>
    <mergeCell ref="B18:C18"/>
    <mergeCell ref="B16:C16"/>
  </mergeCells>
  <pageMargins left="0.70866141732283505" right="0.31496062992126" top="0.55118110236220497" bottom="0.35433070866141703" header="0.31496062992126" footer="0.3149606299212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23FA-A856-4C82-8635-C01E639E9BBB}">
  <sheetPr>
    <pageSetUpPr fitToPage="1"/>
  </sheetPr>
  <dimension ref="A1:P44"/>
  <sheetViews>
    <sheetView view="pageBreakPreview" zoomScale="125" zoomScaleNormal="100" zoomScaleSheetLayoutView="125" workbookViewId="0">
      <selection activeCell="E34" sqref="E34"/>
    </sheetView>
  </sheetViews>
  <sheetFormatPr baseColWidth="10" defaultColWidth="9.1640625" defaultRowHeight="26.25" customHeight="1"/>
  <cols>
    <col min="1" max="1" width="1.6640625" style="1" customWidth="1"/>
    <col min="2" max="3" width="22.83203125" style="1" customWidth="1"/>
    <col min="4" max="7" width="18.83203125" style="1" customWidth="1"/>
    <col min="8" max="8" width="1.6640625" style="7" customWidth="1"/>
    <col min="9" max="12" width="25.6640625" style="7" customWidth="1"/>
    <col min="13" max="17" width="25.6640625" style="1" customWidth="1"/>
    <col min="18" max="16384" width="9.1640625" style="1"/>
  </cols>
  <sheetData>
    <row r="1" spans="1:16" s="7" customFormat="1" ht="26.25" customHeight="1" thickBot="1">
      <c r="A1" s="1"/>
      <c r="B1" s="101" t="s">
        <v>370</v>
      </c>
      <c r="C1" s="102"/>
      <c r="D1" s="45"/>
      <c r="E1" s="23"/>
      <c r="F1" s="23"/>
      <c r="G1" s="23"/>
      <c r="M1" s="1"/>
      <c r="N1" s="1"/>
      <c r="O1" s="1"/>
      <c r="P1" s="1"/>
    </row>
    <row r="2" spans="1:16" s="7" customFormat="1" ht="26.25" customHeight="1" thickBot="1">
      <c r="A2" s="1"/>
      <c r="B2" s="319" t="s">
        <v>133</v>
      </c>
      <c r="C2" s="320"/>
      <c r="D2" s="46" t="s">
        <v>134</v>
      </c>
      <c r="E2" s="47" t="s">
        <v>135</v>
      </c>
      <c r="F2" s="48" t="s">
        <v>136</v>
      </c>
      <c r="G2" s="49" t="s">
        <v>137</v>
      </c>
      <c r="M2" s="1"/>
      <c r="N2" s="1"/>
      <c r="O2" s="1"/>
      <c r="P2" s="1"/>
    </row>
    <row r="3" spans="1:16" s="7" customFormat="1" ht="26.25" customHeight="1">
      <c r="A3" s="1"/>
      <c r="B3" s="285" t="s">
        <v>172</v>
      </c>
      <c r="C3" s="286"/>
      <c r="D3" s="321">
        <f>Стандарт_2</f>
        <v>4750</v>
      </c>
      <c r="E3" s="289">
        <f>Стандарт_2+Патина/4</f>
        <v>5500</v>
      </c>
      <c r="F3" s="289">
        <f>Престиж_2</f>
        <v>6950</v>
      </c>
      <c r="G3" s="283">
        <f>Престиж_2+Патина/4</f>
        <v>7700</v>
      </c>
      <c r="M3" s="1"/>
      <c r="N3" s="1"/>
      <c r="O3" s="1"/>
      <c r="P3" s="1"/>
    </row>
    <row r="4" spans="1:16" s="7" customFormat="1" ht="26.25" customHeight="1">
      <c r="A4" s="1"/>
      <c r="B4" s="296" t="s">
        <v>173</v>
      </c>
      <c r="C4" s="316"/>
      <c r="D4" s="276"/>
      <c r="E4" s="270"/>
      <c r="F4" s="270"/>
      <c r="G4" s="272"/>
      <c r="M4" s="1"/>
      <c r="N4" s="1"/>
      <c r="O4" s="1"/>
      <c r="P4" s="1"/>
    </row>
    <row r="5" spans="1:16" s="7" customFormat="1" ht="26.25" customHeight="1">
      <c r="A5" s="1"/>
      <c r="B5" s="296" t="s">
        <v>174</v>
      </c>
      <c r="C5" s="316"/>
      <c r="D5" s="276"/>
      <c r="E5" s="270"/>
      <c r="F5" s="270"/>
      <c r="G5" s="272"/>
      <c r="M5" s="1"/>
      <c r="N5" s="1"/>
      <c r="O5" s="1"/>
      <c r="P5" s="1"/>
    </row>
    <row r="6" spans="1:16" s="7" customFormat="1" ht="26.25" customHeight="1">
      <c r="A6" s="1"/>
      <c r="B6" s="296" t="s">
        <v>175</v>
      </c>
      <c r="C6" s="316"/>
      <c r="D6" s="276"/>
      <c r="E6" s="270"/>
      <c r="F6" s="270"/>
      <c r="G6" s="272"/>
      <c r="M6" s="1"/>
      <c r="N6" s="1"/>
      <c r="O6" s="1"/>
      <c r="P6" s="1"/>
    </row>
    <row r="7" spans="1:16" s="7" customFormat="1" ht="26.25" customHeight="1">
      <c r="A7" s="1"/>
      <c r="B7" s="296" t="s">
        <v>176</v>
      </c>
      <c r="C7" s="316"/>
      <c r="D7" s="276"/>
      <c r="E7" s="270"/>
      <c r="F7" s="270"/>
      <c r="G7" s="272"/>
      <c r="M7" s="1"/>
      <c r="N7" s="1"/>
      <c r="O7" s="1"/>
      <c r="P7" s="1"/>
    </row>
    <row r="8" spans="1:16" s="7" customFormat="1" ht="26.25" customHeight="1">
      <c r="A8" s="1"/>
      <c r="B8" s="296" t="s">
        <v>177</v>
      </c>
      <c r="C8" s="316"/>
      <c r="D8" s="276"/>
      <c r="E8" s="270"/>
      <c r="F8" s="270"/>
      <c r="G8" s="272"/>
      <c r="M8" s="1"/>
      <c r="N8" s="1"/>
      <c r="O8" s="1"/>
      <c r="P8" s="1"/>
    </row>
    <row r="9" spans="1:16" s="7" customFormat="1" ht="26.25" customHeight="1" thickBot="1">
      <c r="A9" s="1"/>
      <c r="B9" s="317" t="s">
        <v>179</v>
      </c>
      <c r="C9" s="318"/>
      <c r="D9" s="322"/>
      <c r="E9" s="323"/>
      <c r="F9" s="323"/>
      <c r="G9" s="315"/>
      <c r="M9" s="1"/>
      <c r="N9" s="1"/>
      <c r="O9" s="1"/>
      <c r="P9" s="1"/>
    </row>
    <row r="10" spans="1:16" s="7" customFormat="1" ht="26.25" customHeight="1">
      <c r="A10" s="1"/>
      <c r="B10" s="2"/>
      <c r="C10" s="2"/>
      <c r="M10" s="1"/>
      <c r="N10" s="1"/>
      <c r="O10" s="1"/>
      <c r="P10" s="1"/>
    </row>
    <row r="11" spans="1:16" s="7" customFormat="1" ht="26.25" customHeight="1">
      <c r="B11" s="101" t="s">
        <v>371</v>
      </c>
      <c r="C11" s="102"/>
      <c r="D11" s="45"/>
      <c r="E11" s="23"/>
      <c r="F11" s="23"/>
      <c r="G11" s="23"/>
    </row>
    <row r="12" spans="1:16" s="7" customFormat="1" ht="26.25" customHeight="1">
      <c r="A12" s="1"/>
      <c r="B12" s="2"/>
      <c r="C12" s="102"/>
      <c r="D12" s="324" t="s">
        <v>180</v>
      </c>
      <c r="E12" s="325"/>
      <c r="F12" s="325"/>
      <c r="G12" s="325"/>
      <c r="M12" s="1"/>
      <c r="N12" s="1"/>
      <c r="O12" s="1"/>
      <c r="P12" s="1"/>
    </row>
    <row r="13" spans="1:16" s="7" customFormat="1" ht="26.25" customHeight="1">
      <c r="A13" s="1"/>
      <c r="B13" s="2"/>
      <c r="C13" s="102"/>
      <c r="D13" s="45"/>
      <c r="E13" s="23"/>
      <c r="F13" s="23"/>
      <c r="G13" s="23"/>
      <c r="M13" s="1"/>
      <c r="N13" s="1"/>
      <c r="O13" s="1"/>
      <c r="P13" s="1"/>
    </row>
    <row r="14" spans="1:16" s="7" customFormat="1" ht="26.25" customHeight="1" thickBot="1">
      <c r="A14" s="1"/>
      <c r="B14" s="101" t="s">
        <v>372</v>
      </c>
      <c r="C14" s="102"/>
      <c r="D14" s="45"/>
      <c r="E14" s="54"/>
      <c r="F14" s="23"/>
      <c r="G14" s="23"/>
      <c r="M14" s="1"/>
      <c r="N14" s="1"/>
      <c r="O14" s="1"/>
      <c r="P14" s="1"/>
    </row>
    <row r="15" spans="1:16" s="7" customFormat="1" ht="26.25" customHeight="1" thickBot="1">
      <c r="A15" s="1"/>
      <c r="B15" s="332" t="s">
        <v>133</v>
      </c>
      <c r="C15" s="333"/>
      <c r="D15" s="339" t="s">
        <v>181</v>
      </c>
      <c r="E15" s="340"/>
      <c r="F15" s="340"/>
      <c r="G15" s="341"/>
      <c r="M15" s="1"/>
      <c r="N15" s="1"/>
      <c r="O15" s="1"/>
      <c r="P15" s="1"/>
    </row>
    <row r="16" spans="1:16" s="7" customFormat="1" ht="26.25" customHeight="1">
      <c r="A16" s="1"/>
      <c r="B16" s="334" t="s">
        <v>182</v>
      </c>
      <c r="C16" s="335"/>
      <c r="D16" s="336" t="s">
        <v>183</v>
      </c>
      <c r="E16" s="342">
        <f>Сложная_фрезеровка</f>
        <v>1000</v>
      </c>
      <c r="F16" s="345" t="s">
        <v>184</v>
      </c>
      <c r="G16" s="346"/>
      <c r="M16" s="1"/>
      <c r="N16" s="1"/>
      <c r="O16" s="1"/>
      <c r="P16" s="1"/>
    </row>
    <row r="17" spans="1:16" s="7" customFormat="1" ht="26.25" customHeight="1">
      <c r="A17" s="1"/>
      <c r="B17" s="326" t="s">
        <v>185</v>
      </c>
      <c r="C17" s="327"/>
      <c r="D17" s="337"/>
      <c r="E17" s="343"/>
      <c r="F17" s="347"/>
      <c r="G17" s="348"/>
      <c r="M17" s="1"/>
      <c r="N17" s="1"/>
      <c r="O17" s="1"/>
      <c r="P17" s="1"/>
    </row>
    <row r="18" spans="1:16" s="7" customFormat="1" ht="26.25" customHeight="1">
      <c r="A18" s="1"/>
      <c r="B18" s="326" t="s">
        <v>186</v>
      </c>
      <c r="C18" s="327"/>
      <c r="D18" s="337"/>
      <c r="E18" s="343"/>
      <c r="F18" s="347"/>
      <c r="G18" s="348"/>
      <c r="M18" s="1"/>
      <c r="N18" s="1"/>
      <c r="O18" s="1"/>
      <c r="P18" s="1"/>
    </row>
    <row r="19" spans="1:16" s="7" customFormat="1" ht="26.25" customHeight="1">
      <c r="A19" s="1"/>
      <c r="B19" s="326" t="s">
        <v>187</v>
      </c>
      <c r="C19" s="327"/>
      <c r="D19" s="337"/>
      <c r="E19" s="343"/>
      <c r="F19" s="347"/>
      <c r="G19" s="348"/>
      <c r="M19" s="1"/>
      <c r="N19" s="1"/>
      <c r="O19" s="1"/>
      <c r="P19" s="1"/>
    </row>
    <row r="20" spans="1:16" s="7" customFormat="1" ht="26.25" customHeight="1" thickBot="1">
      <c r="A20" s="1"/>
      <c r="B20" s="330" t="s">
        <v>188</v>
      </c>
      <c r="C20" s="331"/>
      <c r="D20" s="338"/>
      <c r="E20" s="344"/>
      <c r="F20" s="349"/>
      <c r="G20" s="350"/>
      <c r="M20" s="1"/>
      <c r="N20" s="1"/>
      <c r="O20" s="1"/>
      <c r="P20" s="1"/>
    </row>
    <row r="21" spans="1:16" s="7" customFormat="1" ht="26.25" customHeight="1">
      <c r="A21" s="1"/>
      <c r="B21" s="2"/>
      <c r="C21" s="2"/>
      <c r="D21" s="10"/>
      <c r="E21" s="10"/>
      <c r="F21" s="10"/>
      <c r="G21" s="10"/>
      <c r="M21" s="1"/>
      <c r="N21" s="1"/>
      <c r="O21" s="1"/>
      <c r="P21" s="1"/>
    </row>
    <row r="22" spans="1:16" s="7" customFormat="1" ht="26.25" customHeight="1">
      <c r="A22" s="1"/>
      <c r="B22" s="2" t="s">
        <v>189</v>
      </c>
      <c r="C22" s="2"/>
      <c r="D22" s="10"/>
      <c r="E22" s="10"/>
      <c r="F22" s="10"/>
      <c r="G22" s="10"/>
      <c r="M22" s="1"/>
      <c r="N22" s="1"/>
      <c r="O22" s="1"/>
      <c r="P22" s="1"/>
    </row>
    <row r="23" spans="1:16" ht="26.25" customHeight="1">
      <c r="B23" s="2" t="s">
        <v>190</v>
      </c>
      <c r="C23" s="9"/>
      <c r="D23" s="10"/>
      <c r="E23" s="11"/>
      <c r="F23" s="11"/>
      <c r="G23" s="11"/>
    </row>
    <row r="24" spans="1:16" ht="26.25" customHeight="1">
      <c r="B24" s="55"/>
      <c r="C24" s="328" t="s">
        <v>191</v>
      </c>
      <c r="D24" s="329"/>
      <c r="E24" s="329"/>
      <c r="F24" s="329"/>
      <c r="G24" s="329"/>
    </row>
    <row r="26" spans="1:16" s="7" customFormat="1" ht="26.25" customHeight="1" thickBot="1">
      <c r="A26" s="1"/>
      <c r="B26" s="186" t="s">
        <v>387</v>
      </c>
      <c r="C26" s="187"/>
      <c r="D26" s="188"/>
      <c r="E26" s="189"/>
      <c r="F26" s="148"/>
      <c r="G26" s="23"/>
      <c r="M26" s="1"/>
      <c r="N26" s="1"/>
      <c r="O26" s="1"/>
      <c r="P26" s="1"/>
    </row>
    <row r="27" spans="1:16" s="7" customFormat="1" ht="26.25" customHeight="1" thickBot="1">
      <c r="A27" s="1"/>
      <c r="B27" s="332" t="s">
        <v>133</v>
      </c>
      <c r="C27" s="359"/>
      <c r="D27" s="360"/>
      <c r="E27" s="340" t="s">
        <v>181</v>
      </c>
      <c r="F27" s="234"/>
      <c r="G27" s="235"/>
      <c r="M27" s="1"/>
      <c r="N27" s="1"/>
      <c r="O27" s="1"/>
      <c r="P27" s="1"/>
    </row>
    <row r="28" spans="1:16" s="7" customFormat="1" ht="26.25" customHeight="1">
      <c r="A28" s="1"/>
      <c r="B28" s="285" t="s">
        <v>192</v>
      </c>
      <c r="C28" s="355"/>
      <c r="D28" s="356"/>
      <c r="E28" s="345" t="s">
        <v>193</v>
      </c>
      <c r="F28" s="351"/>
      <c r="G28" s="352"/>
      <c r="M28" s="1"/>
      <c r="N28" s="1"/>
      <c r="O28" s="1"/>
      <c r="P28" s="1"/>
    </row>
    <row r="29" spans="1:16" s="7" customFormat="1" ht="26.25" customHeight="1" thickBot="1">
      <c r="A29" s="1"/>
      <c r="B29" s="317" t="s">
        <v>194</v>
      </c>
      <c r="C29" s="357"/>
      <c r="D29" s="358"/>
      <c r="E29" s="353"/>
      <c r="F29" s="353"/>
      <c r="G29" s="354"/>
      <c r="M29" s="1"/>
      <c r="N29" s="1"/>
      <c r="O29" s="1"/>
      <c r="P29" s="1"/>
    </row>
    <row r="30" spans="1:16" ht="26.25" customHeight="1">
      <c r="B30" s="1" t="s">
        <v>195</v>
      </c>
    </row>
    <row r="31" spans="1:16" ht="26.25" customHeight="1">
      <c r="B31" s="1" t="s">
        <v>196</v>
      </c>
    </row>
    <row r="32" spans="1:16" ht="26.25" customHeight="1">
      <c r="C32" s="1" t="s">
        <v>197</v>
      </c>
    </row>
    <row r="33" spans="3:8" ht="26.25" customHeight="1">
      <c r="C33" s="1" t="s">
        <v>198</v>
      </c>
    </row>
    <row r="44" spans="3:8" ht="26.25" customHeight="1">
      <c r="H44" s="25" t="s">
        <v>171</v>
      </c>
    </row>
  </sheetData>
  <sortState xmlns:xlrd2="http://schemas.microsoft.com/office/spreadsheetml/2017/richdata2" ref="B3:C5">
    <sortCondition ref="B3"/>
  </sortState>
  <mergeCells count="29">
    <mergeCell ref="E28:G29"/>
    <mergeCell ref="B28:D28"/>
    <mergeCell ref="B29:D29"/>
    <mergeCell ref="E27:G27"/>
    <mergeCell ref="B27:D27"/>
    <mergeCell ref="D12:G12"/>
    <mergeCell ref="B19:C19"/>
    <mergeCell ref="C24:G24"/>
    <mergeCell ref="B20:C20"/>
    <mergeCell ref="B15:C15"/>
    <mergeCell ref="B16:C16"/>
    <mergeCell ref="D16:D20"/>
    <mergeCell ref="B17:C17"/>
    <mergeCell ref="B18:C18"/>
    <mergeCell ref="D15:G15"/>
    <mergeCell ref="E16:E20"/>
    <mergeCell ref="F16:G20"/>
    <mergeCell ref="G3:G9"/>
    <mergeCell ref="B7:C7"/>
    <mergeCell ref="B8:C8"/>
    <mergeCell ref="B9:C9"/>
    <mergeCell ref="B2:C2"/>
    <mergeCell ref="B3:C3"/>
    <mergeCell ref="D3:D9"/>
    <mergeCell ref="E3:E9"/>
    <mergeCell ref="F3:F9"/>
    <mergeCell ref="B4:C4"/>
    <mergeCell ref="B5:C5"/>
    <mergeCell ref="B6:C6"/>
  </mergeCells>
  <pageMargins left="0.70866141732283505" right="0.31496062992126" top="0.55118110236220497" bottom="0.35433070866141703" header="0.31496062992126" footer="0.31496062992126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724C-5504-8E4C-95F8-B867F8695971}">
  <sheetPr>
    <pageSetUpPr fitToPage="1"/>
  </sheetPr>
  <dimension ref="A1:P44"/>
  <sheetViews>
    <sheetView zoomScale="125" zoomScaleNormal="125" zoomScaleSheetLayoutView="125" workbookViewId="0">
      <selection activeCell="D35" sqref="D35"/>
    </sheetView>
  </sheetViews>
  <sheetFormatPr baseColWidth="10" defaultColWidth="9.1640625" defaultRowHeight="26.25" customHeight="1"/>
  <cols>
    <col min="1" max="1" width="1.6640625" style="8" customWidth="1"/>
    <col min="2" max="7" width="20.83203125" style="8" customWidth="1"/>
    <col min="8" max="8" width="1.6640625" style="7" customWidth="1"/>
    <col min="9" max="12" width="25.6640625" style="7" customWidth="1"/>
    <col min="13" max="17" width="25.6640625" style="8" customWidth="1"/>
    <col min="18" max="16384" width="9.1640625" style="8"/>
  </cols>
  <sheetData>
    <row r="1" spans="1:16" s="7" customFormat="1" ht="26.25" customHeight="1">
      <c r="A1" s="8"/>
      <c r="B1" s="101" t="s">
        <v>400</v>
      </c>
      <c r="C1" s="102"/>
      <c r="D1" s="45"/>
      <c r="E1" s="23"/>
      <c r="F1" s="23"/>
      <c r="G1" s="23"/>
      <c r="M1" s="8"/>
      <c r="N1" s="8"/>
      <c r="O1" s="8"/>
      <c r="P1" s="8"/>
    </row>
    <row r="2" spans="1:16" s="7" customFormat="1" ht="26.25" customHeight="1">
      <c r="A2" s="8"/>
      <c r="B2" s="101"/>
      <c r="C2" s="102"/>
      <c r="D2" s="45"/>
      <c r="E2" s="23"/>
      <c r="F2" s="23"/>
      <c r="G2" s="23"/>
      <c r="M2" s="8"/>
      <c r="N2" s="8"/>
      <c r="O2" s="8"/>
      <c r="P2" s="8"/>
    </row>
    <row r="3" spans="1:16" s="7" customFormat="1" ht="26.25" customHeight="1">
      <c r="A3" s="8"/>
      <c r="B3" s="33" t="s">
        <v>389</v>
      </c>
      <c r="C3" s="102"/>
      <c r="D3" s="45"/>
      <c r="E3" s="23"/>
      <c r="F3" s="23"/>
      <c r="G3" s="23"/>
      <c r="M3" s="8"/>
      <c r="N3" s="8"/>
      <c r="O3" s="8"/>
      <c r="P3" s="8"/>
    </row>
    <row r="4" spans="1:16" ht="26.25" customHeight="1">
      <c r="C4" s="8" t="s">
        <v>408</v>
      </c>
    </row>
    <row r="5" spans="1:16" ht="26.25" customHeight="1">
      <c r="B5" s="8" t="s">
        <v>410</v>
      </c>
    </row>
    <row r="6" spans="1:16" s="7" customFormat="1" ht="26.25" customHeight="1">
      <c r="B6" s="2" t="s">
        <v>407</v>
      </c>
    </row>
    <row r="7" spans="1:16" s="7" customFormat="1" ht="26.25" customHeight="1">
      <c r="B7" s="2" t="s">
        <v>409</v>
      </c>
    </row>
    <row r="9" spans="1:16" ht="26.25" customHeight="1" thickBot="1">
      <c r="B9" s="40" t="s">
        <v>388</v>
      </c>
    </row>
    <row r="10" spans="1:16" s="7" customFormat="1" ht="26.25" customHeight="1" thickBot="1">
      <c r="A10" s="8"/>
      <c r="B10" s="332" t="s">
        <v>133</v>
      </c>
      <c r="C10" s="333"/>
      <c r="D10" s="339" t="s">
        <v>181</v>
      </c>
      <c r="E10" s="340"/>
      <c r="F10" s="340"/>
      <c r="G10" s="341"/>
      <c r="M10" s="8"/>
      <c r="N10" s="8"/>
      <c r="O10" s="8"/>
      <c r="P10" s="8"/>
    </row>
    <row r="11" spans="1:16" s="7" customFormat="1" ht="26.25" customHeight="1">
      <c r="A11" s="8"/>
      <c r="B11" s="334" t="s">
        <v>200</v>
      </c>
      <c r="C11" s="335"/>
      <c r="D11" s="336" t="s">
        <v>183</v>
      </c>
      <c r="E11" s="361">
        <v>0.2</v>
      </c>
      <c r="F11" s="345" t="s">
        <v>201</v>
      </c>
      <c r="G11" s="346"/>
      <c r="M11" s="8"/>
      <c r="N11" s="8"/>
      <c r="O11" s="8"/>
      <c r="P11" s="8"/>
    </row>
    <row r="12" spans="1:16" s="7" customFormat="1" ht="26.25" customHeight="1" thickBot="1">
      <c r="A12" s="8"/>
      <c r="B12" s="330" t="s">
        <v>202</v>
      </c>
      <c r="C12" s="331"/>
      <c r="D12" s="338"/>
      <c r="E12" s="362"/>
      <c r="F12" s="349"/>
      <c r="G12" s="350"/>
      <c r="M12" s="8"/>
      <c r="N12" s="8"/>
      <c r="O12" s="8"/>
      <c r="P12" s="8"/>
    </row>
    <row r="14" spans="1:16" s="7" customFormat="1" ht="26.25" customHeight="1">
      <c r="B14" s="2" t="s">
        <v>203</v>
      </c>
    </row>
    <row r="15" spans="1:16" s="7" customFormat="1" ht="26.25" customHeight="1">
      <c r="B15" s="7" t="s">
        <v>204</v>
      </c>
      <c r="C15" s="7" t="s">
        <v>205</v>
      </c>
    </row>
    <row r="16" spans="1:16" s="7" customFormat="1" ht="26.25" customHeight="1">
      <c r="B16" s="7" t="s">
        <v>206</v>
      </c>
      <c r="C16" s="7" t="s">
        <v>399</v>
      </c>
    </row>
    <row r="17" spans="1:16" s="7" customFormat="1" ht="26.25" customHeight="1"/>
    <row r="18" spans="1:16" ht="26.25" customHeight="1">
      <c r="B18" s="8" t="s">
        <v>401</v>
      </c>
    </row>
    <row r="19" spans="1:16" s="7" customFormat="1" ht="26.25" customHeight="1"/>
    <row r="20" spans="1:16" s="7" customFormat="1" ht="26.25" customHeight="1">
      <c r="B20" s="2"/>
    </row>
    <row r="21" spans="1:16" ht="26.25" customHeight="1" thickBot="1">
      <c r="B21" s="40" t="s">
        <v>390</v>
      </c>
    </row>
    <row r="22" spans="1:16" s="7" customFormat="1" ht="26.25" customHeight="1" thickBot="1">
      <c r="A22" s="8"/>
      <c r="B22" s="332" t="s">
        <v>133</v>
      </c>
      <c r="C22" s="333"/>
      <c r="D22" s="339" t="s">
        <v>181</v>
      </c>
      <c r="E22" s="340"/>
      <c r="F22" s="340"/>
      <c r="G22" s="341"/>
      <c r="M22" s="8"/>
      <c r="N22" s="8"/>
      <c r="O22" s="8"/>
      <c r="P22" s="8"/>
    </row>
    <row r="23" spans="1:16" s="7" customFormat="1" ht="26.25" customHeight="1">
      <c r="A23" s="8"/>
      <c r="B23" s="334" t="s">
        <v>391</v>
      </c>
      <c r="C23" s="335"/>
      <c r="D23" s="336" t="s">
        <v>183</v>
      </c>
      <c r="E23" s="361">
        <v>0.2</v>
      </c>
      <c r="F23" s="345" t="s">
        <v>201</v>
      </c>
      <c r="G23" s="346"/>
      <c r="M23" s="8"/>
      <c r="N23" s="8"/>
      <c r="O23" s="8"/>
      <c r="P23" s="8"/>
    </row>
    <row r="24" spans="1:16" s="7" customFormat="1" ht="26.25" customHeight="1" thickBot="1">
      <c r="A24" s="8"/>
      <c r="B24" s="330" t="s">
        <v>392</v>
      </c>
      <c r="C24" s="331"/>
      <c r="D24" s="338"/>
      <c r="E24" s="362"/>
      <c r="F24" s="349"/>
      <c r="G24" s="350"/>
      <c r="M24" s="8"/>
      <c r="N24" s="8"/>
      <c r="O24" s="8"/>
      <c r="P24" s="8"/>
    </row>
    <row r="27" spans="1:16" ht="26.25" customHeight="1">
      <c r="B27" s="33" t="s">
        <v>403</v>
      </c>
    </row>
    <row r="28" spans="1:16" ht="26.25" customHeight="1">
      <c r="C28" s="8" t="s">
        <v>406</v>
      </c>
    </row>
    <row r="29" spans="1:16" ht="26.25" customHeight="1">
      <c r="C29" s="8" t="s">
        <v>411</v>
      </c>
    </row>
    <row r="30" spans="1:16" ht="26.25" customHeight="1">
      <c r="C30" s="8" t="s">
        <v>412</v>
      </c>
    </row>
    <row r="31" spans="1:16" s="30" customFormat="1" ht="26.25" customHeight="1">
      <c r="A31" s="26"/>
      <c r="B31" s="33"/>
      <c r="C31" s="36"/>
      <c r="D31" s="29"/>
      <c r="E31" s="29"/>
      <c r="F31" s="29"/>
      <c r="G31" s="29"/>
      <c r="M31" s="26"/>
      <c r="N31" s="26"/>
      <c r="O31" s="26"/>
      <c r="P31" s="26"/>
    </row>
    <row r="32" spans="1:16" ht="26.25" customHeight="1">
      <c r="B32" s="8" t="s">
        <v>402</v>
      </c>
    </row>
    <row r="44" spans="1:16" s="7" customFormat="1" ht="26.25" customHeight="1">
      <c r="A44" s="8"/>
      <c r="B44" s="8"/>
      <c r="C44" s="8"/>
      <c r="D44" s="8"/>
      <c r="E44" s="8"/>
      <c r="F44" s="8"/>
      <c r="G44" s="8"/>
      <c r="H44" s="149" t="s">
        <v>199</v>
      </c>
      <c r="M44" s="8"/>
      <c r="N44" s="8"/>
      <c r="O44" s="8"/>
      <c r="P44" s="8"/>
    </row>
  </sheetData>
  <mergeCells count="14">
    <mergeCell ref="B22:C22"/>
    <mergeCell ref="D22:G22"/>
    <mergeCell ref="B23:C23"/>
    <mergeCell ref="D23:D24"/>
    <mergeCell ref="E23:E24"/>
    <mergeCell ref="F23:G24"/>
    <mergeCell ref="B24:C24"/>
    <mergeCell ref="B10:C10"/>
    <mergeCell ref="D10:G10"/>
    <mergeCell ref="B11:C11"/>
    <mergeCell ref="D11:D12"/>
    <mergeCell ref="E11:E12"/>
    <mergeCell ref="F11:G12"/>
    <mergeCell ref="B12:C12"/>
  </mergeCells>
  <pageMargins left="0.70866141732283505" right="0.31496062992126" top="0.55118110236220497" bottom="0.35433070866141703" header="0.31496062992126" footer="0.31496062992126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FDF8-B8A8-F04A-8817-2AB9666259FA}">
  <sheetPr>
    <pageSetUpPr fitToPage="1"/>
  </sheetPr>
  <dimension ref="A1:P44"/>
  <sheetViews>
    <sheetView view="pageBreakPreview" zoomScale="125" zoomScaleNormal="100" zoomScaleSheetLayoutView="125" workbookViewId="0">
      <selection activeCell="B9" sqref="B9:C10"/>
    </sheetView>
  </sheetViews>
  <sheetFormatPr baseColWidth="10" defaultColWidth="9.1640625" defaultRowHeight="26.25" customHeight="1"/>
  <cols>
    <col min="1" max="1" width="1.6640625" style="8" customWidth="1"/>
    <col min="2" max="7" width="20.83203125" style="8" customWidth="1"/>
    <col min="8" max="8" width="1.6640625" style="7" customWidth="1"/>
    <col min="9" max="12" width="25.6640625" style="7" customWidth="1"/>
    <col min="13" max="17" width="25.6640625" style="8" customWidth="1"/>
    <col min="18" max="16384" width="9.1640625" style="8"/>
  </cols>
  <sheetData>
    <row r="1" spans="1:16" s="7" customFormat="1" ht="26.25" customHeight="1"/>
    <row r="2" spans="1:16" s="30" customFormat="1" ht="26.25" customHeight="1">
      <c r="A2" s="26"/>
      <c r="B2" s="40" t="s">
        <v>378</v>
      </c>
      <c r="C2" s="41"/>
      <c r="D2" s="28"/>
      <c r="E2" s="29"/>
      <c r="F2" s="32"/>
      <c r="G2" s="29"/>
      <c r="M2" s="26"/>
      <c r="N2" s="26"/>
      <c r="O2" s="26"/>
      <c r="P2" s="26"/>
    </row>
    <row r="4" spans="1:16" s="30" customFormat="1" ht="26.25" customHeight="1">
      <c r="A4" s="26"/>
      <c r="C4" s="42" t="s">
        <v>383</v>
      </c>
      <c r="D4" s="28"/>
      <c r="E4" s="43"/>
      <c r="F4" s="43"/>
      <c r="G4" s="43"/>
      <c r="M4" s="26"/>
      <c r="N4" s="26"/>
      <c r="O4" s="26"/>
      <c r="P4" s="26"/>
    </row>
    <row r="5" spans="1:16" s="30" customFormat="1" ht="26.25" customHeight="1" thickBot="1">
      <c r="A5" s="26"/>
      <c r="C5" s="42"/>
      <c r="D5" s="366" t="s">
        <v>132</v>
      </c>
      <c r="E5" s="367"/>
      <c r="F5" s="43"/>
      <c r="G5" s="43"/>
      <c r="M5" s="26"/>
      <c r="N5" s="26"/>
      <c r="O5" s="26"/>
      <c r="P5" s="26"/>
    </row>
    <row r="6" spans="1:16" s="30" customFormat="1" ht="26.25" customHeight="1">
      <c r="A6" s="26"/>
      <c r="B6" s="368" t="s">
        <v>133</v>
      </c>
      <c r="C6" s="369"/>
      <c r="D6" s="175" t="s">
        <v>134</v>
      </c>
      <c r="E6" s="176" t="s">
        <v>135</v>
      </c>
      <c r="F6" s="177" t="s">
        <v>136</v>
      </c>
      <c r="G6" s="178" t="s">
        <v>137</v>
      </c>
      <c r="M6" s="26"/>
      <c r="N6" s="26"/>
      <c r="O6" s="26"/>
      <c r="P6" s="26"/>
    </row>
    <row r="7" spans="1:16" s="30" customFormat="1" ht="26.25" customHeight="1">
      <c r="A7" s="26"/>
      <c r="B7" s="365" t="s">
        <v>397</v>
      </c>
      <c r="C7" s="365"/>
      <c r="D7" s="363">
        <f>Стандарт_3*1.5</f>
        <v>7425</v>
      </c>
      <c r="E7" s="363">
        <f>Стандарт_3*1.5+Патина</f>
        <v>10425</v>
      </c>
      <c r="F7" s="363">
        <f>Престиж_2*1.5</f>
        <v>10425</v>
      </c>
      <c r="G7" s="363">
        <f>Престиж_2*1.5+Патина</f>
        <v>13425</v>
      </c>
      <c r="M7" s="26"/>
      <c r="N7" s="26"/>
      <c r="O7" s="26"/>
      <c r="P7" s="26"/>
    </row>
    <row r="8" spans="1:16" s="30" customFormat="1" ht="26.25" customHeight="1">
      <c r="A8" s="26"/>
      <c r="B8" s="264"/>
      <c r="C8" s="264"/>
      <c r="D8" s="364"/>
      <c r="E8" s="364"/>
      <c r="F8" s="364"/>
      <c r="G8" s="364"/>
      <c r="M8" s="26"/>
      <c r="N8" s="26"/>
      <c r="O8" s="26"/>
      <c r="P8" s="26"/>
    </row>
    <row r="9" spans="1:16" s="30" customFormat="1" ht="26.25" customHeight="1">
      <c r="A9" s="26"/>
      <c r="B9" s="365" t="s">
        <v>396</v>
      </c>
      <c r="C9" s="365"/>
      <c r="D9" s="363">
        <f>(Стандарт_3+500)*1.5</f>
        <v>8175</v>
      </c>
      <c r="E9" s="363">
        <f>(Стандарт_3+500)*1.5+Патина</f>
        <v>11175</v>
      </c>
      <c r="F9" s="363">
        <f>(Престиж_2+500)*1.5</f>
        <v>11175</v>
      </c>
      <c r="G9" s="363">
        <f>(Престиж_2+500)*1.5+Патина</f>
        <v>14175</v>
      </c>
      <c r="M9" s="26"/>
      <c r="N9" s="26"/>
      <c r="O9" s="26"/>
      <c r="P9" s="26"/>
    </row>
    <row r="10" spans="1:16" s="30" customFormat="1" ht="26.25" customHeight="1">
      <c r="A10" s="26"/>
      <c r="B10" s="264"/>
      <c r="C10" s="264"/>
      <c r="D10" s="364"/>
      <c r="E10" s="364"/>
      <c r="F10" s="364"/>
      <c r="G10" s="364"/>
      <c r="M10" s="26"/>
      <c r="N10" s="26"/>
      <c r="O10" s="26"/>
      <c r="P10" s="26"/>
    </row>
    <row r="11" spans="1:16" s="30" customFormat="1" ht="26.25" customHeight="1">
      <c r="A11" s="26"/>
      <c r="B11" s="365" t="s">
        <v>393</v>
      </c>
      <c r="C11" s="365"/>
      <c r="D11" s="363">
        <f>(Стандарт_3+Сложная_фрезеровка)*1.5</f>
        <v>8925</v>
      </c>
      <c r="E11" s="363">
        <f>(Стандарт_3+Сложная_фрезеровка)*1.5+Патина</f>
        <v>11925</v>
      </c>
      <c r="F11" s="363">
        <f>(Престиж_2+Сложная_фрезеровка)*1.5</f>
        <v>11925</v>
      </c>
      <c r="G11" s="363">
        <f>(Престиж_2+Сложная_фрезеровка)*1.5+Патина</f>
        <v>14925</v>
      </c>
      <c r="M11" s="26"/>
      <c r="N11" s="26"/>
      <c r="O11" s="26"/>
      <c r="P11" s="26"/>
    </row>
    <row r="12" spans="1:16" s="30" customFormat="1" ht="26.25" customHeight="1">
      <c r="A12" s="26"/>
      <c r="B12" s="264"/>
      <c r="C12" s="264"/>
      <c r="D12" s="364">
        <f>(Стандарт_2+Сложная_фрезеровка)*1.5</f>
        <v>8625</v>
      </c>
      <c r="E12" s="364">
        <f>(Стандарт_2+Сложная_фрезеровка)*1.5+Патина</f>
        <v>11625</v>
      </c>
      <c r="F12" s="364">
        <f>(Престиж_2+Сложная_фрезеровка)*1.5</f>
        <v>11925</v>
      </c>
      <c r="G12" s="364">
        <f>(Престиж_2+Сложная_фрезеровка)*1.5+Патина</f>
        <v>14925</v>
      </c>
      <c r="M12" s="26"/>
      <c r="N12" s="26"/>
      <c r="O12" s="26"/>
      <c r="P12" s="26"/>
    </row>
    <row r="13" spans="1:16" s="30" customFormat="1" ht="26.25" customHeight="1">
      <c r="A13" s="26"/>
      <c r="B13" s="365" t="s">
        <v>394</v>
      </c>
      <c r="C13" s="365"/>
      <c r="D13" s="363">
        <f>(Стандарт_3+Сложная_фрезеровка_с_утопленной_вставкой)*1.5</f>
        <v>9675</v>
      </c>
      <c r="E13" s="363">
        <f>(Стандарт_3+Сложная_фрезеровка_с_утопленной_вставкой)*1.5+Патина</f>
        <v>12675</v>
      </c>
      <c r="F13" s="363">
        <f>(Престиж_2+Сложная_фрезеровка_с_утопленной_вставкой)*1.5</f>
        <v>12675</v>
      </c>
      <c r="G13" s="363">
        <f>(Престиж_2+Сложная_фрезеровка_с_утопленной_вставкой)*1.5+Патина</f>
        <v>15675</v>
      </c>
      <c r="M13" s="26"/>
      <c r="N13" s="26"/>
      <c r="O13" s="26"/>
      <c r="P13" s="26"/>
    </row>
    <row r="14" spans="1:16" s="30" customFormat="1" ht="26.25" customHeight="1">
      <c r="A14" s="26"/>
      <c r="B14" s="264"/>
      <c r="C14" s="264"/>
      <c r="D14" s="364">
        <f>(Стандарт_2+Сложная_фрезеровка)*1.5</f>
        <v>8625</v>
      </c>
      <c r="E14" s="364">
        <f>(Стандарт_2+Сложная_фрезеровка)*1.5+Патина</f>
        <v>11625</v>
      </c>
      <c r="F14" s="364">
        <f>(Престиж_2+Сложная_фрезеровка)*1.5</f>
        <v>11925</v>
      </c>
      <c r="G14" s="364">
        <f>(Престиж_2+Сложная_фрезеровка)*1.5+Патина</f>
        <v>14925</v>
      </c>
      <c r="M14" s="26"/>
      <c r="N14" s="26"/>
      <c r="O14" s="26"/>
      <c r="P14" s="26"/>
    </row>
    <row r="15" spans="1:16" s="30" customFormat="1" ht="26.25" customHeight="1">
      <c r="A15" s="26"/>
      <c r="B15" s="365" t="s">
        <v>395</v>
      </c>
      <c r="C15" s="365"/>
      <c r="D15" s="363">
        <f>(Стандарт_3+Авиньон)*1.5</f>
        <v>11925</v>
      </c>
      <c r="E15" s="363">
        <f>(Стандарт_3+Авиньон)*1.5+Патина</f>
        <v>14925</v>
      </c>
      <c r="F15" s="363">
        <f>(Престиж_2+Авиньон)*1.5</f>
        <v>14925</v>
      </c>
      <c r="G15" s="363">
        <f>(Престиж_2+Авиньон)*1.5+Патина</f>
        <v>17925</v>
      </c>
      <c r="M15" s="26"/>
      <c r="N15" s="26"/>
      <c r="O15" s="26"/>
      <c r="P15" s="26"/>
    </row>
    <row r="16" spans="1:16" s="30" customFormat="1" ht="26.25" customHeight="1">
      <c r="A16" s="26"/>
      <c r="B16" s="264"/>
      <c r="C16" s="264"/>
      <c r="D16" s="364">
        <f>(Стандарт_2+Сложная_фрезеровка)*1.5</f>
        <v>8625</v>
      </c>
      <c r="E16" s="364">
        <f>(Стандарт_2+Сложная_фрезеровка)*1.5+Патина</f>
        <v>11625</v>
      </c>
      <c r="F16" s="364">
        <f>(Престиж_2+Сложная_фрезеровка)*1.5</f>
        <v>11925</v>
      </c>
      <c r="G16" s="364">
        <f>(Престиж_2+Сложная_фрезеровка)*1.5+Патина</f>
        <v>14925</v>
      </c>
      <c r="M16" s="26"/>
      <c r="N16" s="26"/>
      <c r="O16" s="26"/>
      <c r="P16" s="26"/>
    </row>
    <row r="17" spans="1:16" s="30" customFormat="1" ht="26.25" customHeight="1">
      <c r="A17" s="26"/>
      <c r="B17" s="40"/>
      <c r="C17" s="41"/>
      <c r="D17" s="28"/>
      <c r="E17" s="29"/>
      <c r="F17" s="32"/>
      <c r="G17" s="29"/>
      <c r="M17" s="26"/>
      <c r="N17" s="26"/>
      <c r="O17" s="26"/>
      <c r="P17" s="26"/>
    </row>
    <row r="18" spans="1:16" s="30" customFormat="1" ht="26.25" customHeight="1">
      <c r="A18" s="26"/>
      <c r="C18" s="42"/>
      <c r="D18" s="28"/>
      <c r="E18" s="43"/>
      <c r="F18" s="43"/>
      <c r="G18" s="43"/>
      <c r="M18" s="26"/>
      <c r="N18" s="26"/>
      <c r="O18" s="26"/>
      <c r="P18" s="26"/>
    </row>
    <row r="25" spans="1:16" s="30" customFormat="1" ht="26.25" customHeight="1">
      <c r="A25" s="26"/>
      <c r="B25" s="40"/>
      <c r="C25" s="41"/>
      <c r="D25" s="28"/>
      <c r="E25" s="29"/>
      <c r="F25" s="32"/>
      <c r="G25" s="29"/>
      <c r="M25" s="26"/>
      <c r="N25" s="26"/>
      <c r="O25" s="26"/>
      <c r="P25" s="26"/>
    </row>
    <row r="26" spans="1:16" s="30" customFormat="1" ht="26.25" customHeight="1">
      <c r="A26" s="26"/>
      <c r="C26" s="42"/>
      <c r="D26" s="28"/>
      <c r="E26" s="43"/>
      <c r="F26" s="43"/>
      <c r="G26" s="43"/>
      <c r="M26" s="26"/>
      <c r="N26" s="26"/>
      <c r="O26" s="26"/>
      <c r="P26" s="26"/>
    </row>
    <row r="33" spans="1:16" s="30" customFormat="1" ht="26.25" customHeight="1">
      <c r="A33" s="26"/>
      <c r="C33" s="42"/>
      <c r="D33" s="28"/>
      <c r="E33" s="43"/>
      <c r="F33" s="43"/>
      <c r="G33" s="43"/>
      <c r="M33" s="26"/>
      <c r="N33" s="26"/>
      <c r="O33" s="26"/>
      <c r="P33" s="26"/>
    </row>
    <row r="44" spans="1:16" ht="26.25" customHeight="1">
      <c r="H44" s="149" t="s">
        <v>207</v>
      </c>
    </row>
  </sheetData>
  <mergeCells count="27">
    <mergeCell ref="D5:E5"/>
    <mergeCell ref="B6:C6"/>
    <mergeCell ref="B7:C8"/>
    <mergeCell ref="D7:D8"/>
    <mergeCell ref="E7:E8"/>
    <mergeCell ref="F7:F8"/>
    <mergeCell ref="G7:G8"/>
    <mergeCell ref="B9:C10"/>
    <mergeCell ref="D9:D10"/>
    <mergeCell ref="E9:E10"/>
    <mergeCell ref="F9:F10"/>
    <mergeCell ref="G9:G10"/>
    <mergeCell ref="F15:F16"/>
    <mergeCell ref="G15:G16"/>
    <mergeCell ref="F11:F12"/>
    <mergeCell ref="G11:G12"/>
    <mergeCell ref="B13:C14"/>
    <mergeCell ref="D13:D14"/>
    <mergeCell ref="E13:E14"/>
    <mergeCell ref="F13:F14"/>
    <mergeCell ref="G13:G14"/>
    <mergeCell ref="B11:C12"/>
    <mergeCell ref="D11:D12"/>
    <mergeCell ref="E11:E12"/>
    <mergeCell ref="B15:C16"/>
    <mergeCell ref="D15:D16"/>
    <mergeCell ref="E15:E16"/>
  </mergeCells>
  <pageMargins left="0.70866141732283505" right="0.31496062992126" top="0.55118110236220497" bottom="0.35433070866141703" header="0.31496062992126" footer="0.31496062992126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C4E3-5F70-4D2A-AF25-A0E76AD00127}">
  <sheetPr>
    <pageSetUpPr fitToPage="1"/>
  </sheetPr>
  <dimension ref="B1:P49"/>
  <sheetViews>
    <sheetView zoomScale="125" zoomScaleNormal="125" zoomScaleSheetLayoutView="100" workbookViewId="0">
      <selection activeCell="C12" sqref="C12"/>
    </sheetView>
  </sheetViews>
  <sheetFormatPr baseColWidth="10" defaultColWidth="9.1640625" defaultRowHeight="26.25" customHeight="1"/>
  <cols>
    <col min="1" max="1" width="1.6640625" style="1" customWidth="1"/>
    <col min="2" max="7" width="20.83203125" style="1" customWidth="1"/>
    <col min="8" max="8" width="1.6640625" style="7" customWidth="1"/>
    <col min="9" max="12" width="25.6640625" style="7" customWidth="1"/>
    <col min="13" max="17" width="25.6640625" style="1" customWidth="1"/>
    <col min="18" max="16384" width="9.1640625" style="1"/>
  </cols>
  <sheetData>
    <row r="1" spans="2:16" s="7" customFormat="1" ht="26.25" customHeight="1">
      <c r="B1" s="2" t="s">
        <v>208</v>
      </c>
      <c r="C1" s="2"/>
      <c r="D1" s="45"/>
      <c r="E1" s="23"/>
      <c r="F1" s="23"/>
      <c r="G1" s="23"/>
      <c r="M1" s="1"/>
      <c r="N1" s="1"/>
      <c r="O1" s="1"/>
      <c r="P1" s="1"/>
    </row>
    <row r="2" spans="2:16" s="7" customFormat="1" ht="26.25" customHeight="1">
      <c r="B2" s="2"/>
      <c r="C2" s="2"/>
      <c r="D2" s="23"/>
      <c r="E2" s="23"/>
      <c r="F2" s="23"/>
      <c r="G2" s="23"/>
      <c r="M2" s="1"/>
      <c r="N2" s="1"/>
      <c r="O2" s="1"/>
      <c r="P2" s="1"/>
    </row>
    <row r="3" spans="2:16" s="7" customFormat="1" ht="26.25" customHeight="1">
      <c r="B3" s="26" t="s">
        <v>209</v>
      </c>
      <c r="C3" s="26"/>
      <c r="D3" s="26"/>
      <c r="E3" s="26"/>
      <c r="F3" s="26"/>
      <c r="G3" s="13"/>
      <c r="M3" s="24"/>
      <c r="N3" s="24"/>
      <c r="O3" s="24"/>
      <c r="P3" s="24"/>
    </row>
    <row r="4" spans="2:16" s="7" customFormat="1" ht="26.25" customHeight="1">
      <c r="B4" s="26" t="s">
        <v>404</v>
      </c>
      <c r="C4" s="26"/>
      <c r="D4" s="26"/>
      <c r="E4" s="26"/>
      <c r="F4" s="26"/>
      <c r="G4" s="13"/>
      <c r="M4" s="24"/>
      <c r="N4" s="24"/>
      <c r="O4" s="24"/>
      <c r="P4" s="24"/>
    </row>
    <row r="5" spans="2:16" s="7" customFormat="1" ht="26.25" customHeight="1">
      <c r="B5" s="26"/>
      <c r="C5" s="26"/>
      <c r="D5" s="26"/>
      <c r="E5" s="26"/>
      <c r="F5" s="26"/>
      <c r="G5" s="13"/>
      <c r="M5" s="24"/>
      <c r="N5" s="24"/>
      <c r="O5" s="24"/>
      <c r="P5" s="24"/>
    </row>
    <row r="6" spans="2:16" s="7" customFormat="1" ht="26.25" customHeight="1">
      <c r="B6" s="23" t="s">
        <v>210</v>
      </c>
      <c r="C6" s="26"/>
      <c r="D6" s="26"/>
      <c r="E6" s="26"/>
      <c r="F6" s="26"/>
      <c r="G6" s="13"/>
      <c r="M6" s="24"/>
      <c r="N6" s="24"/>
      <c r="O6" s="24"/>
      <c r="P6" s="24"/>
    </row>
    <row r="7" spans="2:16" s="7" customFormat="1" ht="26.25" customHeight="1">
      <c r="B7" s="26" t="s">
        <v>405</v>
      </c>
      <c r="C7" s="26"/>
      <c r="D7" s="26"/>
      <c r="E7" s="26"/>
      <c r="F7" s="26"/>
      <c r="G7" s="13"/>
      <c r="M7" s="24"/>
      <c r="N7" s="24"/>
      <c r="O7" s="24"/>
      <c r="P7" s="24"/>
    </row>
    <row r="8" spans="2:16" s="7" customFormat="1" ht="26.25" customHeight="1">
      <c r="B8" s="23"/>
      <c r="C8" s="10"/>
      <c r="D8" s="10"/>
      <c r="E8" s="13"/>
      <c r="F8" s="13"/>
      <c r="G8" s="13"/>
      <c r="M8" s="24"/>
      <c r="N8" s="24"/>
      <c r="O8" s="24"/>
      <c r="P8" s="24"/>
    </row>
    <row r="9" spans="2:16" s="7" customFormat="1" ht="26.25" customHeight="1">
      <c r="B9" s="23" t="s">
        <v>211</v>
      </c>
      <c r="C9" s="2"/>
      <c r="D9" s="23"/>
      <c r="E9" s="23"/>
      <c r="F9" s="23"/>
      <c r="G9" s="23"/>
      <c r="M9" s="1"/>
      <c r="N9" s="1"/>
      <c r="O9" s="1"/>
      <c r="P9" s="1"/>
    </row>
    <row r="10" spans="2:16" s="7" customFormat="1" ht="26.25" customHeight="1">
      <c r="B10" s="23"/>
      <c r="C10" s="2"/>
      <c r="D10" s="23"/>
      <c r="E10" s="23"/>
      <c r="F10" s="23"/>
      <c r="G10" s="23"/>
      <c r="M10" s="1"/>
      <c r="N10" s="1"/>
      <c r="O10" s="1"/>
      <c r="P10" s="1"/>
    </row>
    <row r="11" spans="2:16" s="7" customFormat="1" ht="26.25" customHeight="1">
      <c r="B11" s="23" t="s">
        <v>212</v>
      </c>
      <c r="C11" s="2"/>
      <c r="D11" s="23"/>
      <c r="E11" s="23"/>
      <c r="F11" s="23"/>
      <c r="G11" s="23"/>
      <c r="M11" s="1"/>
      <c r="N11" s="1"/>
      <c r="O11" s="1"/>
      <c r="P11" s="1"/>
    </row>
    <row r="12" spans="2:16" s="7" customFormat="1" ht="26.25" customHeight="1">
      <c r="B12" s="2"/>
      <c r="C12" s="2"/>
      <c r="D12" s="23"/>
      <c r="E12" s="23"/>
      <c r="F12" s="23"/>
      <c r="G12" s="23"/>
      <c r="M12" s="1"/>
      <c r="N12" s="1"/>
      <c r="O12" s="1"/>
      <c r="P12" s="1"/>
    </row>
    <row r="13" spans="2:16" s="7" customFormat="1" ht="26.25" customHeight="1">
      <c r="B13" s="2" t="s">
        <v>213</v>
      </c>
      <c r="C13" s="2"/>
      <c r="D13" s="23"/>
      <c r="E13" s="23"/>
      <c r="F13" s="23"/>
      <c r="G13" s="23"/>
      <c r="M13" s="1"/>
      <c r="N13" s="1"/>
      <c r="O13" s="1"/>
      <c r="P13" s="1"/>
    </row>
    <row r="14" spans="2:16" s="7" customFormat="1" ht="26.25" customHeight="1">
      <c r="B14" s="2"/>
      <c r="C14" s="2"/>
      <c r="D14" s="23"/>
      <c r="E14" s="23"/>
      <c r="F14" s="23"/>
      <c r="G14" s="23"/>
      <c r="M14" s="1"/>
      <c r="N14" s="1"/>
      <c r="O14" s="1"/>
      <c r="P14" s="1"/>
    </row>
    <row r="15" spans="2:16" s="7" customFormat="1" ht="26.25" customHeight="1">
      <c r="B15" s="23" t="s">
        <v>214</v>
      </c>
      <c r="C15" s="10"/>
      <c r="D15" s="10"/>
      <c r="E15" s="13"/>
      <c r="F15" s="13"/>
      <c r="G15" s="13"/>
      <c r="M15" s="24"/>
      <c r="N15" s="24"/>
      <c r="O15" s="24"/>
      <c r="P15" s="24"/>
    </row>
    <row r="16" spans="2:16" s="7" customFormat="1" ht="26.25" customHeight="1">
      <c r="B16" s="23"/>
      <c r="C16" s="10"/>
      <c r="D16" s="10"/>
      <c r="E16" s="13"/>
      <c r="F16" s="13"/>
      <c r="G16" s="13"/>
      <c r="M16" s="24"/>
      <c r="N16" s="24"/>
      <c r="O16" s="24"/>
      <c r="P16" s="24"/>
    </row>
    <row r="17" spans="2:16" ht="26.25" customHeight="1">
      <c r="B17" s="23" t="s">
        <v>215</v>
      </c>
    </row>
    <row r="18" spans="2:16" s="8" customFormat="1" ht="26.25" customHeight="1">
      <c r="B18" s="23"/>
      <c r="H18" s="7"/>
      <c r="I18" s="7"/>
      <c r="J18" s="7"/>
      <c r="K18" s="7"/>
      <c r="L18" s="7"/>
    </row>
    <row r="19" spans="2:16" ht="26.25" customHeight="1">
      <c r="B19" s="23" t="s">
        <v>216</v>
      </c>
    </row>
    <row r="20" spans="2:16" s="8" customFormat="1" ht="26.25" customHeight="1">
      <c r="B20" s="23"/>
      <c r="H20" s="7"/>
      <c r="I20" s="7"/>
      <c r="J20" s="7"/>
      <c r="K20" s="7"/>
      <c r="L20" s="7"/>
    </row>
    <row r="21" spans="2:16" s="8" customFormat="1" ht="26.25" customHeight="1">
      <c r="B21" s="8" t="s">
        <v>217</v>
      </c>
      <c r="H21" s="7"/>
      <c r="I21" s="7"/>
      <c r="J21" s="7"/>
      <c r="K21" s="7"/>
      <c r="L21" s="7"/>
    </row>
    <row r="22" spans="2:16" s="7" customFormat="1" ht="26.25" customHeight="1">
      <c r="B22" s="8"/>
      <c r="C22" s="2"/>
      <c r="D22" s="23"/>
      <c r="E22" s="23"/>
      <c r="F22" s="23"/>
      <c r="G22" s="23"/>
      <c r="M22" s="8"/>
      <c r="N22" s="8"/>
      <c r="O22" s="8"/>
      <c r="P22" s="8"/>
    </row>
    <row r="23" spans="2:16" s="8" customFormat="1" ht="26.25" customHeight="1">
      <c r="B23" s="8" t="s">
        <v>218</v>
      </c>
      <c r="H23" s="7"/>
      <c r="I23" s="7"/>
      <c r="J23" s="7"/>
      <c r="K23" s="7"/>
      <c r="L23" s="7"/>
    </row>
    <row r="24" spans="2:16" s="7" customFormat="1" ht="26.25" customHeight="1">
      <c r="B24" s="2"/>
      <c r="C24" s="2"/>
      <c r="D24" s="23"/>
      <c r="E24" s="23"/>
      <c r="F24" s="23"/>
      <c r="G24" s="23"/>
      <c r="M24" s="8"/>
      <c r="N24" s="8"/>
      <c r="O24" s="8"/>
      <c r="P24" s="8"/>
    </row>
    <row r="25" spans="2:16" s="8" customFormat="1" ht="26.25" customHeight="1">
      <c r="B25" s="8" t="s">
        <v>219</v>
      </c>
      <c r="H25" s="7"/>
      <c r="I25" s="7"/>
      <c r="J25" s="7"/>
      <c r="K25" s="7"/>
      <c r="L25" s="7"/>
    </row>
    <row r="26" spans="2:16" s="8" customFormat="1" ht="26.25" customHeight="1">
      <c r="B26" s="23"/>
      <c r="H26" s="7"/>
      <c r="I26" s="7"/>
      <c r="J26" s="7"/>
      <c r="K26" s="7"/>
      <c r="L26" s="7"/>
    </row>
    <row r="27" spans="2:16" s="7" customFormat="1" ht="26.25" customHeight="1">
      <c r="B27" s="8" t="s">
        <v>220</v>
      </c>
      <c r="C27" s="10"/>
      <c r="D27" s="10"/>
      <c r="E27" s="13"/>
      <c r="F27" s="13"/>
      <c r="G27" s="13"/>
      <c r="M27" s="56"/>
      <c r="N27" s="56"/>
      <c r="O27" s="56"/>
      <c r="P27" s="56"/>
    </row>
    <row r="28" spans="2:16" s="7" customFormat="1" ht="26.25" customHeight="1">
      <c r="B28" s="2"/>
      <c r="C28" s="2"/>
      <c r="D28" s="23"/>
      <c r="E28" s="23"/>
      <c r="F28" s="8"/>
      <c r="G28" s="23"/>
      <c r="M28" s="8"/>
      <c r="N28" s="8"/>
      <c r="O28" s="8"/>
      <c r="P28" s="8"/>
    </row>
    <row r="29" spans="2:16" s="7" customFormat="1" ht="26.25" customHeight="1">
      <c r="B29" s="8" t="s">
        <v>221</v>
      </c>
      <c r="C29" s="2"/>
      <c r="D29" s="23"/>
      <c r="E29" s="23"/>
      <c r="F29" s="8"/>
      <c r="G29" s="23"/>
      <c r="M29" s="8"/>
      <c r="N29" s="8"/>
      <c r="O29" s="8"/>
      <c r="P29" s="8"/>
    </row>
    <row r="30" spans="2:16" s="7" customFormat="1" ht="26.25" customHeight="1">
      <c r="B30" s="23"/>
      <c r="C30" s="2"/>
      <c r="D30" s="23"/>
      <c r="E30" s="23"/>
      <c r="F30" s="8"/>
      <c r="G30" s="23"/>
      <c r="M30" s="8"/>
      <c r="N30" s="8"/>
      <c r="O30" s="8"/>
      <c r="P30" s="8"/>
    </row>
    <row r="31" spans="2:16" s="7" customFormat="1" ht="26.25" customHeight="1">
      <c r="B31" s="8" t="s">
        <v>222</v>
      </c>
      <c r="C31" s="2"/>
      <c r="D31" s="23"/>
      <c r="E31" s="23"/>
      <c r="F31" s="8"/>
      <c r="G31" s="23"/>
      <c r="M31" s="8"/>
      <c r="N31" s="8"/>
      <c r="O31" s="8"/>
      <c r="P31" s="8"/>
    </row>
    <row r="32" spans="2:16" s="7" customFormat="1" ht="26.25" customHeight="1">
      <c r="B32" s="8"/>
      <c r="C32" s="2"/>
      <c r="D32" s="23"/>
      <c r="E32" s="23"/>
      <c r="F32" s="8"/>
      <c r="G32" s="23"/>
      <c r="M32" s="8"/>
      <c r="N32" s="8"/>
      <c r="O32" s="8"/>
      <c r="P32" s="8"/>
    </row>
    <row r="33" spans="2:16" s="7" customFormat="1" ht="26.25" customHeight="1">
      <c r="B33" s="2" t="s">
        <v>223</v>
      </c>
      <c r="C33" s="2"/>
      <c r="D33" s="23"/>
      <c r="E33" s="23"/>
      <c r="F33" s="8"/>
      <c r="G33" s="23"/>
      <c r="M33" s="8"/>
      <c r="N33" s="8"/>
      <c r="O33" s="8"/>
      <c r="P33" s="8"/>
    </row>
    <row r="34" spans="2:16" s="7" customFormat="1" ht="26.25" customHeight="1">
      <c r="B34" s="2"/>
      <c r="C34" s="2"/>
      <c r="D34" s="23"/>
      <c r="E34" s="23"/>
      <c r="F34" s="8"/>
      <c r="G34" s="23"/>
      <c r="M34" s="8"/>
      <c r="N34" s="8"/>
      <c r="O34" s="8"/>
      <c r="P34" s="8"/>
    </row>
    <row r="35" spans="2:16" s="7" customFormat="1" ht="26.25" customHeight="1">
      <c r="B35" s="2" t="s">
        <v>224</v>
      </c>
      <c r="C35" s="2"/>
      <c r="D35" s="23"/>
      <c r="E35" s="23"/>
      <c r="F35" s="8"/>
      <c r="G35" s="23"/>
      <c r="M35" s="8"/>
      <c r="N35" s="8"/>
      <c r="O35" s="8"/>
      <c r="P35" s="8"/>
    </row>
    <row r="36" spans="2:16" s="7" customFormat="1" ht="26.25" customHeight="1">
      <c r="B36" s="23"/>
      <c r="C36" s="10"/>
      <c r="D36" s="10"/>
      <c r="E36" s="13"/>
      <c r="F36" s="13"/>
      <c r="G36" s="13"/>
      <c r="M36" s="56"/>
      <c r="N36" s="56"/>
      <c r="O36" s="56"/>
      <c r="P36" s="56"/>
    </row>
    <row r="37" spans="2:16" s="7" customFormat="1" ht="26.25" customHeight="1" thickBot="1">
      <c r="B37" s="2" t="s">
        <v>225</v>
      </c>
      <c r="C37" s="2"/>
      <c r="D37" s="10"/>
      <c r="E37" s="23"/>
      <c r="F37" s="57"/>
      <c r="G37" s="13"/>
      <c r="M37" s="1"/>
      <c r="N37" s="1"/>
      <c r="O37" s="1"/>
      <c r="P37" s="1"/>
    </row>
    <row r="38" spans="2:16" s="7" customFormat="1" ht="26.25" customHeight="1" thickBot="1">
      <c r="B38" s="58"/>
      <c r="C38" s="59">
        <v>296</v>
      </c>
      <c r="D38" s="47">
        <v>396</v>
      </c>
      <c r="E38" s="48">
        <v>496</v>
      </c>
      <c r="F38" s="48">
        <v>596</v>
      </c>
      <c r="G38" s="49">
        <v>896</v>
      </c>
      <c r="M38" s="1"/>
      <c r="N38" s="1"/>
      <c r="O38" s="1"/>
      <c r="P38" s="1"/>
    </row>
    <row r="39" spans="2:16" s="7" customFormat="1" ht="26.25" customHeight="1">
      <c r="B39" s="44">
        <v>356</v>
      </c>
      <c r="C39" s="60"/>
      <c r="D39" s="61"/>
      <c r="E39" s="61" t="s">
        <v>226</v>
      </c>
      <c r="F39" s="61" t="s">
        <v>226</v>
      </c>
      <c r="G39" s="62" t="s">
        <v>226</v>
      </c>
      <c r="M39" s="1"/>
      <c r="N39" s="1"/>
      <c r="O39" s="1"/>
      <c r="P39" s="1"/>
    </row>
    <row r="40" spans="2:16" s="7" customFormat="1" ht="26.25" customHeight="1">
      <c r="B40" s="63">
        <v>716</v>
      </c>
      <c r="C40" s="64" t="s">
        <v>226</v>
      </c>
      <c r="D40" s="96" t="s">
        <v>226</v>
      </c>
      <c r="E40" s="96" t="s">
        <v>226</v>
      </c>
      <c r="F40" s="96" t="s">
        <v>226</v>
      </c>
      <c r="G40" s="97"/>
      <c r="M40" s="1"/>
      <c r="N40" s="1"/>
      <c r="O40" s="1"/>
      <c r="P40" s="1"/>
    </row>
    <row r="41" spans="2:16" s="7" customFormat="1" ht="26.25" customHeight="1">
      <c r="B41" s="63">
        <v>956</v>
      </c>
      <c r="C41" s="64" t="s">
        <v>226</v>
      </c>
      <c r="D41" s="96" t="s">
        <v>226</v>
      </c>
      <c r="E41" s="96" t="s">
        <v>226</v>
      </c>
      <c r="F41" s="96" t="s">
        <v>226</v>
      </c>
      <c r="G41" s="97"/>
      <c r="M41" s="1"/>
      <c r="N41" s="1"/>
      <c r="O41" s="1"/>
      <c r="P41" s="1"/>
    </row>
    <row r="42" spans="2:16" s="7" customFormat="1" ht="26.25" customHeight="1">
      <c r="B42" s="63">
        <v>1350</v>
      </c>
      <c r="C42" s="64" t="s">
        <v>226</v>
      </c>
      <c r="D42" s="96" t="s">
        <v>226</v>
      </c>
      <c r="E42" s="96" t="s">
        <v>226</v>
      </c>
      <c r="F42" s="96" t="s">
        <v>226</v>
      </c>
      <c r="G42" s="97"/>
      <c r="M42" s="1"/>
      <c r="N42" s="1"/>
      <c r="O42" s="1"/>
      <c r="P42" s="1"/>
    </row>
    <row r="43" spans="2:16" s="7" customFormat="1" ht="26.25" customHeight="1">
      <c r="B43" s="63">
        <v>1600</v>
      </c>
      <c r="C43" s="64" t="s">
        <v>226</v>
      </c>
      <c r="D43" s="96" t="s">
        <v>226</v>
      </c>
      <c r="E43" s="96" t="s">
        <v>226</v>
      </c>
      <c r="F43" s="96" t="s">
        <v>226</v>
      </c>
      <c r="G43" s="97"/>
      <c r="M43" s="1"/>
      <c r="N43" s="1"/>
      <c r="O43" s="1"/>
      <c r="P43" s="1"/>
    </row>
    <row r="44" spans="2:16" s="7" customFormat="1" ht="26.25" customHeight="1">
      <c r="B44" s="65">
        <v>2000</v>
      </c>
      <c r="C44" s="64" t="s">
        <v>226</v>
      </c>
      <c r="D44" s="96" t="s">
        <v>226</v>
      </c>
      <c r="E44" s="96" t="s">
        <v>226</v>
      </c>
      <c r="F44" s="96" t="s">
        <v>226</v>
      </c>
      <c r="G44" s="97"/>
      <c r="M44" s="1"/>
      <c r="N44" s="1"/>
      <c r="O44" s="1"/>
      <c r="P44" s="1"/>
    </row>
    <row r="45" spans="2:16" s="7" customFormat="1" ht="26.25" customHeight="1" thickBot="1">
      <c r="B45" s="39">
        <v>2350</v>
      </c>
      <c r="C45" s="66" t="s">
        <v>226</v>
      </c>
      <c r="D45" s="100" t="s">
        <v>226</v>
      </c>
      <c r="E45" s="100" t="s">
        <v>226</v>
      </c>
      <c r="F45" s="100" t="s">
        <v>226</v>
      </c>
      <c r="G45" s="99"/>
      <c r="M45" s="1"/>
      <c r="N45" s="1"/>
      <c r="O45" s="1"/>
      <c r="P45" s="1"/>
    </row>
    <row r="46" spans="2:16" s="7" customFormat="1" ht="26.25" customHeight="1">
      <c r="B46" s="2" t="s">
        <v>227</v>
      </c>
      <c r="C46" s="2"/>
      <c r="D46" s="52"/>
      <c r="E46" s="23"/>
      <c r="F46" s="13"/>
      <c r="G46" s="13"/>
      <c r="M46" s="1"/>
      <c r="N46" s="1"/>
      <c r="O46" s="1"/>
      <c r="P46" s="1"/>
    </row>
    <row r="47" spans="2:16" s="7" customFormat="1" ht="26.25" customHeight="1">
      <c r="B47" s="2"/>
      <c r="C47" s="2"/>
      <c r="D47" s="23"/>
      <c r="E47" s="23"/>
      <c r="F47" s="1"/>
      <c r="G47" s="23"/>
      <c r="M47" s="1"/>
      <c r="N47" s="1"/>
      <c r="O47" s="1"/>
      <c r="P47" s="1"/>
    </row>
    <row r="48" spans="2:16" s="7" customFormat="1" ht="26.25" customHeight="1">
      <c r="B48" s="33" t="s">
        <v>228</v>
      </c>
      <c r="C48" s="2"/>
      <c r="D48" s="23"/>
      <c r="E48" s="23"/>
      <c r="F48" s="1"/>
      <c r="G48" s="23"/>
      <c r="M48" s="1"/>
      <c r="N48" s="1"/>
      <c r="O48" s="1"/>
      <c r="P48" s="1"/>
    </row>
    <row r="49" spans="8:8" ht="26.25" customHeight="1">
      <c r="H49" s="25" t="s">
        <v>229</v>
      </c>
    </row>
  </sheetData>
  <phoneticPr fontId="1" type="noConversion"/>
  <pageMargins left="0.70866141732283505" right="0.31496062992126" top="0.55118110236220497" bottom="0.35433070866141703" header="0.31496062992126" footer="0.31496062992126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25</vt:i4>
      </vt:variant>
    </vt:vector>
  </HeadingPairs>
  <TitlesOfParts>
    <vt:vector size="36" baseType="lpstr">
      <vt:lpstr>Прайс с 2025-10-25     стр1</vt:lpstr>
      <vt:lpstr>стр 2</vt:lpstr>
      <vt:lpstr> стр 3</vt:lpstr>
      <vt:lpstr>стр 4</vt:lpstr>
      <vt:lpstr>стр 5</vt:lpstr>
      <vt:lpstr>стр 6</vt:lpstr>
      <vt:lpstr>стр 7</vt:lpstr>
      <vt:lpstr>стр 8</vt:lpstr>
      <vt:lpstr>стр 9</vt:lpstr>
      <vt:lpstr>стр 10</vt:lpstr>
      <vt:lpstr>Формулы</vt:lpstr>
      <vt:lpstr>Авиньон</vt:lpstr>
      <vt:lpstr>' стр 3'!Область_печати</vt:lpstr>
      <vt:lpstr>'Прайс с 2025-10-25     стр1'!Область_печати</vt:lpstr>
      <vt:lpstr>'стр 10'!Область_печати</vt:lpstr>
      <vt:lpstr>'стр 2'!Область_печати</vt:lpstr>
      <vt:lpstr>'стр 4'!Область_печати</vt:lpstr>
      <vt:lpstr>'стр 5'!Область_печати</vt:lpstr>
      <vt:lpstr>'стр 6'!Область_печати</vt:lpstr>
      <vt:lpstr>'стр 7'!Область_печати</vt:lpstr>
      <vt:lpstr>'стр 8'!Область_печати</vt:lpstr>
      <vt:lpstr>'стр 9'!Область_печати</vt:lpstr>
      <vt:lpstr>Формулы!Область_печати</vt:lpstr>
      <vt:lpstr>Основа_гнутого_фасада</vt:lpstr>
      <vt:lpstr>Патина</vt:lpstr>
      <vt:lpstr>Плита_19_мм</vt:lpstr>
      <vt:lpstr>Престиж_1</vt:lpstr>
      <vt:lpstr>Престиж_2</vt:lpstr>
      <vt:lpstr>Престиж_А</vt:lpstr>
      <vt:lpstr>Сложная_фрезеровка</vt:lpstr>
      <vt:lpstr>Сложная_фрезеровка_с_утопленной_вставкой</vt:lpstr>
      <vt:lpstr>Стандарт_1</vt:lpstr>
      <vt:lpstr>Стандарт_2</vt:lpstr>
      <vt:lpstr>Стандарт_3</vt:lpstr>
      <vt:lpstr>Стандарт_4</vt:lpstr>
      <vt:lpstr>Стандарт_5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 лист ФМФ Ирбис 2022-06-15 для мебельных компаний</dc:title>
  <dc:subject/>
  <dc:creator>Sergey</dc:creator>
  <cp:keywords/>
  <dc:description/>
  <cp:lastModifiedBy>Сергей Спиркин</cp:lastModifiedBy>
  <cp:revision/>
  <cp:lastPrinted>2025-09-29T08:28:43Z</cp:lastPrinted>
  <dcterms:created xsi:type="dcterms:W3CDTF">2016-05-10T12:19:30Z</dcterms:created>
  <dcterms:modified xsi:type="dcterms:W3CDTF">2025-09-29T08:30:40Z</dcterms:modified>
  <cp:category/>
  <cp:contentStatus/>
</cp:coreProperties>
</file>